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 tabRatio="673" firstSheet="3" activeTab="12"/>
  </bookViews>
  <sheets>
    <sheet name="Computation" sheetId="1" r:id="rId1"/>
    <sheet name="Connection" sheetId="2" r:id="rId2"/>
    <sheet name="Consumption" sheetId="3" r:id="rId3"/>
    <sheet name="Rates" sheetId="4" r:id="rId4"/>
    <sheet name="Sales" sheetId="5" r:id="rId5"/>
    <sheet name="Revenues" sheetId="6" r:id="rId6"/>
    <sheet name="Receipts" sheetId="7" r:id="rId7"/>
    <sheet name="Personnel" sheetId="8" r:id="rId8"/>
    <sheet name="Expense" sheetId="9" r:id="rId9"/>
    <sheet name="Cash Flow" sheetId="10" r:id="rId10"/>
    <sheet name="Income" sheetId="11" r:id="rId11"/>
    <sheet name="CAPEX" sheetId="12" r:id="rId12"/>
    <sheet name="GAD" sheetId="15" r:id="rId13"/>
    <sheet name="APP" sheetId="17" r:id="rId14"/>
  </sheets>
  <calcPr calcId="125725"/>
</workbook>
</file>

<file path=xl/calcChain.xml><?xml version="1.0" encoding="utf-8"?>
<calcChain xmlns="http://schemas.openxmlformats.org/spreadsheetml/2006/main">
  <c r="B35" i="8"/>
  <c r="H30"/>
  <c r="H29"/>
  <c r="H19"/>
  <c r="H8"/>
  <c r="H81" i="9"/>
  <c r="M194" i="17"/>
  <c r="K194"/>
  <c r="I194"/>
  <c r="G194"/>
  <c r="E194"/>
  <c r="O62" i="1" l="1"/>
  <c r="B14" i="4" s="1"/>
  <c r="C14" s="1"/>
  <c r="D14" s="1"/>
  <c r="E14" s="1"/>
  <c r="F14" s="1"/>
  <c r="G14" s="1"/>
  <c r="H14" s="1"/>
  <c r="I14" s="1"/>
  <c r="J14" s="1"/>
  <c r="K14" s="1"/>
  <c r="L14" s="1"/>
  <c r="M14" s="1"/>
  <c r="O61" i="1"/>
  <c r="B13" i="4" s="1"/>
  <c r="C13" s="1"/>
  <c r="D13" s="1"/>
  <c r="E13" s="1"/>
  <c r="F13" s="1"/>
  <c r="G13" s="1"/>
  <c r="H13" s="1"/>
  <c r="I13" s="1"/>
  <c r="J13" s="1"/>
  <c r="K13" s="1"/>
  <c r="L13" s="1"/>
  <c r="M13" s="1"/>
  <c r="O60" i="1"/>
  <c r="B12" i="4" s="1"/>
  <c r="C12" s="1"/>
  <c r="D12" s="1"/>
  <c r="E12" s="1"/>
  <c r="F12" s="1"/>
  <c r="G12" s="1"/>
  <c r="H12" s="1"/>
  <c r="I12" s="1"/>
  <c r="J12" s="1"/>
  <c r="K12" s="1"/>
  <c r="L12" s="1"/>
  <c r="M12" s="1"/>
  <c r="O59" i="1"/>
  <c r="B11" i="4" s="1"/>
  <c r="C11" s="1"/>
  <c r="D11" s="1"/>
  <c r="E11" s="1"/>
  <c r="F11" s="1"/>
  <c r="G11" s="1"/>
  <c r="H11" s="1"/>
  <c r="I11" s="1"/>
  <c r="J11" s="1"/>
  <c r="K11" s="1"/>
  <c r="L11" s="1"/>
  <c r="M11" s="1"/>
  <c r="O58" i="1"/>
  <c r="B10" i="4" s="1"/>
  <c r="C10" s="1"/>
  <c r="D10" s="1"/>
  <c r="E10" s="1"/>
  <c r="F10" s="1"/>
  <c r="G10" s="1"/>
  <c r="H10" s="1"/>
  <c r="I10" s="1"/>
  <c r="J10" s="1"/>
  <c r="K10" s="1"/>
  <c r="L10" s="1"/>
  <c r="M10" s="1"/>
  <c r="O57" i="1"/>
  <c r="B9" i="4" s="1"/>
  <c r="C9" s="1"/>
  <c r="D9" s="1"/>
  <c r="E9" s="1"/>
  <c r="F9" s="1"/>
  <c r="G9" s="1"/>
  <c r="H9" s="1"/>
  <c r="I9" s="1"/>
  <c r="J9" s="1"/>
  <c r="K9" s="1"/>
  <c r="L9" s="1"/>
  <c r="M9" s="1"/>
  <c r="B8"/>
  <c r="C8" s="1"/>
  <c r="D8" s="1"/>
  <c r="E8" s="1"/>
  <c r="F8" s="1"/>
  <c r="G8" s="1"/>
  <c r="H8" s="1"/>
  <c r="I8" s="1"/>
  <c r="J8" s="1"/>
  <c r="K8" s="1"/>
  <c r="L8" s="1"/>
  <c r="M8" s="1"/>
  <c r="O55" i="1"/>
  <c r="B7" i="4" s="1"/>
  <c r="C7" s="1"/>
  <c r="D7" s="1"/>
  <c r="E7" s="1"/>
  <c r="F7" s="1"/>
  <c r="G7" s="1"/>
  <c r="H7" s="1"/>
  <c r="I7" s="1"/>
  <c r="J7" s="1"/>
  <c r="K7" s="1"/>
  <c r="L7" s="1"/>
  <c r="M7" s="1"/>
  <c r="C27"/>
  <c r="C26"/>
  <c r="C25"/>
  <c r="M16" i="2"/>
  <c r="L16"/>
  <c r="K16"/>
  <c r="J16"/>
  <c r="I16"/>
  <c r="H16"/>
  <c r="G16"/>
  <c r="G19"/>
  <c r="H19" s="1"/>
  <c r="I19" s="1"/>
  <c r="J19" s="1"/>
  <c r="L19" s="1"/>
  <c r="F19"/>
  <c r="C16"/>
  <c r="D16" s="1"/>
  <c r="E17"/>
  <c r="F17" s="1"/>
  <c r="G17" s="1"/>
  <c r="I17" s="1"/>
  <c r="J17" s="1"/>
  <c r="K17" s="1"/>
  <c r="L17" s="1"/>
  <c r="M17" s="1"/>
  <c r="D17"/>
  <c r="E21"/>
  <c r="F21" s="1"/>
  <c r="G21" s="1"/>
  <c r="H21" s="1"/>
  <c r="I21" s="1"/>
  <c r="J21" s="1"/>
  <c r="K21" s="1"/>
  <c r="L21" s="1"/>
  <c r="M21" s="1"/>
  <c r="C21"/>
  <c r="E18"/>
  <c r="F18" s="1"/>
  <c r="G18" s="1"/>
  <c r="H18" s="1"/>
  <c r="I18" s="1"/>
  <c r="J18" s="1"/>
  <c r="K18" s="1"/>
  <c r="M18" s="1"/>
  <c r="C18"/>
  <c r="E23"/>
  <c r="I23" s="1"/>
  <c r="J23" s="1"/>
  <c r="K23" s="1"/>
  <c r="L23" s="1"/>
  <c r="M23" s="1"/>
  <c r="D23"/>
  <c r="H15" i="9"/>
  <c r="H21"/>
  <c r="G227" i="17"/>
  <c r="E227"/>
  <c r="M227"/>
  <c r="G226"/>
  <c r="E226"/>
  <c r="M226"/>
  <c r="G225"/>
  <c r="E225"/>
  <c r="M225"/>
  <c r="E224"/>
  <c r="I224"/>
  <c r="M224"/>
  <c r="G165"/>
  <c r="E165"/>
  <c r="G164"/>
  <c r="E164"/>
  <c r="G163"/>
  <c r="E163"/>
  <c r="D11" i="11"/>
  <c r="H31" i="9"/>
  <c r="K34" i="8"/>
  <c r="K16"/>
  <c r="H27" i="9"/>
  <c r="H29"/>
  <c r="F64"/>
  <c r="J16" i="15" l="1"/>
  <c r="M36" i="8"/>
  <c r="L36"/>
  <c r="K36"/>
  <c r="J36"/>
  <c r="I36"/>
  <c r="H36"/>
  <c r="G36"/>
  <c r="F36"/>
  <c r="E36"/>
  <c r="D36"/>
  <c r="C36"/>
  <c r="B36"/>
  <c r="H23" i="9" s="1"/>
  <c r="M34" i="8"/>
  <c r="L34"/>
  <c r="J34"/>
  <c r="H34"/>
  <c r="G34"/>
  <c r="E34"/>
  <c r="D34"/>
  <c r="H22" i="9" s="1"/>
  <c r="C32" i="8"/>
  <c r="B32"/>
  <c r="F32" s="1"/>
  <c r="C31"/>
  <c r="B31"/>
  <c r="F31" s="1"/>
  <c r="C30"/>
  <c r="B30"/>
  <c r="F30" s="1"/>
  <c r="F29"/>
  <c r="C29"/>
  <c r="F28"/>
  <c r="C28"/>
  <c r="F27"/>
  <c r="C27"/>
  <c r="I34"/>
  <c r="C26"/>
  <c r="C34" s="1"/>
  <c r="B26"/>
  <c r="B34" s="1"/>
  <c r="H20" i="9" s="1"/>
  <c r="M24" i="8"/>
  <c r="L24"/>
  <c r="K24"/>
  <c r="K37" s="1"/>
  <c r="H30" i="9" s="1"/>
  <c r="J24" i="8"/>
  <c r="H24"/>
  <c r="G24"/>
  <c r="E24"/>
  <c r="D24"/>
  <c r="H16" i="9" s="1"/>
  <c r="C22" i="8"/>
  <c r="B22"/>
  <c r="F22" s="1"/>
  <c r="C21"/>
  <c r="B21"/>
  <c r="F21" s="1"/>
  <c r="C20"/>
  <c r="B20"/>
  <c r="F20" s="1"/>
  <c r="C19"/>
  <c r="B19"/>
  <c r="F19" s="1"/>
  <c r="I24"/>
  <c r="C18"/>
  <c r="C24" s="1"/>
  <c r="B18"/>
  <c r="F18" s="1"/>
  <c r="F24" s="1"/>
  <c r="M16"/>
  <c r="M37" s="1"/>
  <c r="L16"/>
  <c r="L37" s="1"/>
  <c r="J16"/>
  <c r="J37" s="1"/>
  <c r="H16"/>
  <c r="G16"/>
  <c r="E16"/>
  <c r="D16"/>
  <c r="C16"/>
  <c r="B13"/>
  <c r="F13" s="1"/>
  <c r="C12"/>
  <c r="B12"/>
  <c r="F12" s="1"/>
  <c r="C11"/>
  <c r="B11"/>
  <c r="F11" s="1"/>
  <c r="C10"/>
  <c r="B10"/>
  <c r="F10" s="1"/>
  <c r="C9"/>
  <c r="B9"/>
  <c r="F9" s="1"/>
  <c r="B8"/>
  <c r="H37" l="1"/>
  <c r="H36" i="9" s="1"/>
  <c r="G37" i="8"/>
  <c r="E37"/>
  <c r="H26" i="9" s="1"/>
  <c r="D37" i="8"/>
  <c r="B24"/>
  <c r="H14" i="9" s="1"/>
  <c r="B16" i="8"/>
  <c r="I16"/>
  <c r="I37" s="1"/>
  <c r="H35" i="9" s="1"/>
  <c r="F8" i="8"/>
  <c r="H58" i="9"/>
  <c r="I58" s="1"/>
  <c r="F16" i="8"/>
  <c r="C37"/>
  <c r="F26"/>
  <c r="F34" s="1"/>
  <c r="B37" l="1"/>
  <c r="F37"/>
  <c r="N39" l="1"/>
  <c r="H34" i="9"/>
  <c r="M378" i="17"/>
  <c r="K378"/>
  <c r="I378"/>
  <c r="G378"/>
  <c r="E378"/>
  <c r="M377"/>
  <c r="K377"/>
  <c r="I377"/>
  <c r="G377"/>
  <c r="E377"/>
  <c r="M376"/>
  <c r="K376"/>
  <c r="I376"/>
  <c r="G376"/>
  <c r="E376"/>
  <c r="M375"/>
  <c r="K375"/>
  <c r="I375"/>
  <c r="G375"/>
  <c r="E375"/>
  <c r="M374"/>
  <c r="K374"/>
  <c r="I374"/>
  <c r="G374"/>
  <c r="E374"/>
  <c r="M373"/>
  <c r="K373"/>
  <c r="I373"/>
  <c r="G373"/>
  <c r="E373"/>
  <c r="M372"/>
  <c r="K372"/>
  <c r="I372"/>
  <c r="G372"/>
  <c r="E372"/>
  <c r="M367"/>
  <c r="M368" s="1"/>
  <c r="K367"/>
  <c r="K368" s="1"/>
  <c r="I367"/>
  <c r="I368" s="1"/>
  <c r="G367"/>
  <c r="G368" s="1"/>
  <c r="E367"/>
  <c r="E368" s="1"/>
  <c r="M362"/>
  <c r="K362"/>
  <c r="I362"/>
  <c r="G362"/>
  <c r="E362"/>
  <c r="M361"/>
  <c r="K361"/>
  <c r="I361"/>
  <c r="G361"/>
  <c r="E361"/>
  <c r="M356"/>
  <c r="K356"/>
  <c r="I356"/>
  <c r="G356"/>
  <c r="E356"/>
  <c r="M355"/>
  <c r="K355"/>
  <c r="I355"/>
  <c r="G355"/>
  <c r="E355"/>
  <c r="M354"/>
  <c r="K354"/>
  <c r="I354"/>
  <c r="G354"/>
  <c r="E354"/>
  <c r="M353"/>
  <c r="K353"/>
  <c r="I353"/>
  <c r="G353"/>
  <c r="E353"/>
  <c r="M352"/>
  <c r="K352"/>
  <c r="I352"/>
  <c r="G352"/>
  <c r="E352"/>
  <c r="M351"/>
  <c r="K351"/>
  <c r="I351"/>
  <c r="G351"/>
  <c r="E351"/>
  <c r="M350"/>
  <c r="K350"/>
  <c r="I350"/>
  <c r="G350"/>
  <c r="E350"/>
  <c r="M349"/>
  <c r="K349"/>
  <c r="I349"/>
  <c r="G349"/>
  <c r="E349"/>
  <c r="M348"/>
  <c r="K348"/>
  <c r="I348"/>
  <c r="G348"/>
  <c r="E348"/>
  <c r="M347"/>
  <c r="K347"/>
  <c r="I347"/>
  <c r="G347"/>
  <c r="E347"/>
  <c r="M346"/>
  <c r="K346"/>
  <c r="I346"/>
  <c r="G346"/>
  <c r="E346"/>
  <c r="M345"/>
  <c r="K345"/>
  <c r="I345"/>
  <c r="G345"/>
  <c r="E345"/>
  <c r="M344"/>
  <c r="K344"/>
  <c r="I344"/>
  <c r="G344"/>
  <c r="E344"/>
  <c r="M343"/>
  <c r="K343"/>
  <c r="I343"/>
  <c r="G343"/>
  <c r="E343"/>
  <c r="M342"/>
  <c r="K342"/>
  <c r="I342"/>
  <c r="G342"/>
  <c r="E342"/>
  <c r="M341"/>
  <c r="K341"/>
  <c r="I341"/>
  <c r="G341"/>
  <c r="E341"/>
  <c r="M340"/>
  <c r="K340"/>
  <c r="I340"/>
  <c r="G340"/>
  <c r="E340"/>
  <c r="M339"/>
  <c r="K339"/>
  <c r="I339"/>
  <c r="G339"/>
  <c r="E339"/>
  <c r="M338"/>
  <c r="K338"/>
  <c r="I338"/>
  <c r="G338"/>
  <c r="E338"/>
  <c r="M337"/>
  <c r="K337"/>
  <c r="I337"/>
  <c r="G337"/>
  <c r="E337"/>
  <c r="M336"/>
  <c r="K336"/>
  <c r="I336"/>
  <c r="G336"/>
  <c r="E336"/>
  <c r="M335"/>
  <c r="K335"/>
  <c r="I335"/>
  <c r="G335"/>
  <c r="E335"/>
  <c r="M334"/>
  <c r="K334"/>
  <c r="I334"/>
  <c r="G334"/>
  <c r="E334"/>
  <c r="M333"/>
  <c r="K333"/>
  <c r="I333"/>
  <c r="G333"/>
  <c r="E333"/>
  <c r="M332"/>
  <c r="K332"/>
  <c r="I332"/>
  <c r="G332"/>
  <c r="E332"/>
  <c r="M331"/>
  <c r="K331"/>
  <c r="I331"/>
  <c r="G331"/>
  <c r="E331"/>
  <c r="M330"/>
  <c r="K330"/>
  <c r="I330"/>
  <c r="G330"/>
  <c r="E330"/>
  <c r="M329"/>
  <c r="K329"/>
  <c r="I329"/>
  <c r="G329"/>
  <c r="E329"/>
  <c r="M328"/>
  <c r="K328"/>
  <c r="I328"/>
  <c r="G328"/>
  <c r="E328"/>
  <c r="M327"/>
  <c r="K327"/>
  <c r="I327"/>
  <c r="G327"/>
  <c r="E327"/>
  <c r="M326"/>
  <c r="K326"/>
  <c r="I326"/>
  <c r="G326"/>
  <c r="E326"/>
  <c r="M325"/>
  <c r="K325"/>
  <c r="I325"/>
  <c r="G325"/>
  <c r="E325"/>
  <c r="M324"/>
  <c r="K324"/>
  <c r="I324"/>
  <c r="G324"/>
  <c r="E324"/>
  <c r="M323"/>
  <c r="K323"/>
  <c r="I323"/>
  <c r="G323"/>
  <c r="E323"/>
  <c r="M322"/>
  <c r="K322"/>
  <c r="I322"/>
  <c r="G322"/>
  <c r="E322"/>
  <c r="M321"/>
  <c r="K321"/>
  <c r="I321"/>
  <c r="G321"/>
  <c r="E321"/>
  <c r="M320"/>
  <c r="K320"/>
  <c r="I320"/>
  <c r="G320"/>
  <c r="E320"/>
  <c r="M319"/>
  <c r="K319"/>
  <c r="I319"/>
  <c r="G319"/>
  <c r="E319"/>
  <c r="M318"/>
  <c r="K318"/>
  <c r="I318"/>
  <c r="G318"/>
  <c r="E318"/>
  <c r="M317"/>
  <c r="K317"/>
  <c r="I317"/>
  <c r="G317"/>
  <c r="E317"/>
  <c r="M316"/>
  <c r="K316"/>
  <c r="I316"/>
  <c r="G316"/>
  <c r="E316"/>
  <c r="M315"/>
  <c r="K315"/>
  <c r="I315"/>
  <c r="G315"/>
  <c r="E315"/>
  <c r="M314"/>
  <c r="K314"/>
  <c r="I314"/>
  <c r="G314"/>
  <c r="E314"/>
  <c r="M313"/>
  <c r="K313"/>
  <c r="I313"/>
  <c r="G313"/>
  <c r="E313"/>
  <c r="M312"/>
  <c r="K312"/>
  <c r="I312"/>
  <c r="G312"/>
  <c r="E312"/>
  <c r="M311"/>
  <c r="K311"/>
  <c r="I311"/>
  <c r="G311"/>
  <c r="E311"/>
  <c r="M310"/>
  <c r="K310"/>
  <c r="I310"/>
  <c r="G310"/>
  <c r="E310"/>
  <c r="M309"/>
  <c r="K309"/>
  <c r="I309"/>
  <c r="G309"/>
  <c r="E309"/>
  <c r="M308"/>
  <c r="K308"/>
  <c r="I308"/>
  <c r="G308"/>
  <c r="E308"/>
  <c r="M307"/>
  <c r="K307"/>
  <c r="I307"/>
  <c r="G307"/>
  <c r="E307"/>
  <c r="M306"/>
  <c r="K306"/>
  <c r="I306"/>
  <c r="G306"/>
  <c r="E306"/>
  <c r="M305"/>
  <c r="K305"/>
  <c r="I305"/>
  <c r="G305"/>
  <c r="E305"/>
  <c r="M304"/>
  <c r="K304"/>
  <c r="I304"/>
  <c r="G304"/>
  <c r="E304"/>
  <c r="M303"/>
  <c r="K303"/>
  <c r="I303"/>
  <c r="G303"/>
  <c r="E303"/>
  <c r="M302"/>
  <c r="K302"/>
  <c r="I302"/>
  <c r="G302"/>
  <c r="E302"/>
  <c r="M301"/>
  <c r="K301"/>
  <c r="I301"/>
  <c r="G301"/>
  <c r="E301"/>
  <c r="M300"/>
  <c r="K300"/>
  <c r="I300"/>
  <c r="G300"/>
  <c r="E300"/>
  <c r="M299"/>
  <c r="K299"/>
  <c r="I299"/>
  <c r="G299"/>
  <c r="E299"/>
  <c r="M298"/>
  <c r="K298"/>
  <c r="I298"/>
  <c r="G298"/>
  <c r="E298"/>
  <c r="M297"/>
  <c r="K297"/>
  <c r="I297"/>
  <c r="G297"/>
  <c r="E297"/>
  <c r="M296"/>
  <c r="K296"/>
  <c r="I296"/>
  <c r="G296"/>
  <c r="E296"/>
  <c r="M295"/>
  <c r="K295"/>
  <c r="I295"/>
  <c r="G295"/>
  <c r="E295"/>
  <c r="M294"/>
  <c r="K294"/>
  <c r="I294"/>
  <c r="G294"/>
  <c r="E294"/>
  <c r="M293"/>
  <c r="K293"/>
  <c r="I293"/>
  <c r="G293"/>
  <c r="E293"/>
  <c r="M292"/>
  <c r="K292"/>
  <c r="I292"/>
  <c r="G292"/>
  <c r="E292"/>
  <c r="M291"/>
  <c r="K291"/>
  <c r="I291"/>
  <c r="G291"/>
  <c r="E291"/>
  <c r="M290"/>
  <c r="K290"/>
  <c r="I290"/>
  <c r="G290"/>
  <c r="E290"/>
  <c r="M289"/>
  <c r="K289"/>
  <c r="I289"/>
  <c r="G289"/>
  <c r="E289"/>
  <c r="M288"/>
  <c r="K288"/>
  <c r="I288"/>
  <c r="G288"/>
  <c r="E288"/>
  <c r="M287"/>
  <c r="K287"/>
  <c r="I287"/>
  <c r="G287"/>
  <c r="E287"/>
  <c r="M286"/>
  <c r="K286"/>
  <c r="I286"/>
  <c r="G286"/>
  <c r="E286"/>
  <c r="M285"/>
  <c r="K285"/>
  <c r="I285"/>
  <c r="G285"/>
  <c r="E285"/>
  <c r="M284"/>
  <c r="K284"/>
  <c r="I284"/>
  <c r="G284"/>
  <c r="E284"/>
  <c r="M283"/>
  <c r="K283"/>
  <c r="I283"/>
  <c r="G283"/>
  <c r="E283"/>
  <c r="M282"/>
  <c r="K282"/>
  <c r="I282"/>
  <c r="G282"/>
  <c r="E282"/>
  <c r="M281"/>
  <c r="K281"/>
  <c r="I281"/>
  <c r="G281"/>
  <c r="E281"/>
  <c r="M280"/>
  <c r="K280"/>
  <c r="I280"/>
  <c r="G280"/>
  <c r="E280"/>
  <c r="M279"/>
  <c r="K279"/>
  <c r="K357" s="1"/>
  <c r="I279"/>
  <c r="I357" s="1"/>
  <c r="G279"/>
  <c r="G357" s="1"/>
  <c r="E279"/>
  <c r="E357" s="1"/>
  <c r="C23" i="12" s="1"/>
  <c r="M273" i="17"/>
  <c r="K273"/>
  <c r="I273"/>
  <c r="G273"/>
  <c r="E273"/>
  <c r="M272"/>
  <c r="K272"/>
  <c r="I272"/>
  <c r="G272"/>
  <c r="E272"/>
  <c r="M271"/>
  <c r="K271"/>
  <c r="I271"/>
  <c r="G271"/>
  <c r="E271"/>
  <c r="M270"/>
  <c r="K270"/>
  <c r="I270"/>
  <c r="G270"/>
  <c r="E270"/>
  <c r="M269"/>
  <c r="K269"/>
  <c r="I269"/>
  <c r="G269"/>
  <c r="E269"/>
  <c r="M268"/>
  <c r="K268"/>
  <c r="I268"/>
  <c r="G268"/>
  <c r="E268"/>
  <c r="M267"/>
  <c r="K267"/>
  <c r="I267"/>
  <c r="G267"/>
  <c r="E267"/>
  <c r="M266"/>
  <c r="K266"/>
  <c r="I266"/>
  <c r="G266"/>
  <c r="E266"/>
  <c r="M265"/>
  <c r="K265"/>
  <c r="I265"/>
  <c r="G265"/>
  <c r="E265"/>
  <c r="M264"/>
  <c r="K264"/>
  <c r="I264"/>
  <c r="G264"/>
  <c r="E264"/>
  <c r="M263"/>
  <c r="K263"/>
  <c r="I263"/>
  <c r="G263"/>
  <c r="E263"/>
  <c r="M262"/>
  <c r="K262"/>
  <c r="I262"/>
  <c r="G262"/>
  <c r="E262"/>
  <c r="M261"/>
  <c r="K261"/>
  <c r="I261"/>
  <c r="G261"/>
  <c r="E261"/>
  <c r="M260"/>
  <c r="K260"/>
  <c r="I260"/>
  <c r="G260"/>
  <c r="E260"/>
  <c r="M259"/>
  <c r="K259"/>
  <c r="I259"/>
  <c r="G259"/>
  <c r="E259"/>
  <c r="M258"/>
  <c r="K258"/>
  <c r="I258"/>
  <c r="G258"/>
  <c r="E258"/>
  <c r="M257"/>
  <c r="K257"/>
  <c r="I257"/>
  <c r="G257"/>
  <c r="E257"/>
  <c r="M256"/>
  <c r="K256"/>
  <c r="I256"/>
  <c r="G256"/>
  <c r="E256"/>
  <c r="M255"/>
  <c r="K255"/>
  <c r="I255"/>
  <c r="G255"/>
  <c r="E255"/>
  <c r="M254"/>
  <c r="K254"/>
  <c r="I254"/>
  <c r="G254"/>
  <c r="E254"/>
  <c r="M253"/>
  <c r="K253"/>
  <c r="I253"/>
  <c r="G253"/>
  <c r="E253"/>
  <c r="M252"/>
  <c r="K252"/>
  <c r="I252"/>
  <c r="G252"/>
  <c r="E252"/>
  <c r="M251"/>
  <c r="K251"/>
  <c r="I251"/>
  <c r="G251"/>
  <c r="E251"/>
  <c r="M250"/>
  <c r="K250"/>
  <c r="I250"/>
  <c r="G250"/>
  <c r="E250"/>
  <c r="M249"/>
  <c r="K249"/>
  <c r="I249"/>
  <c r="G249"/>
  <c r="E249"/>
  <c r="M248"/>
  <c r="K248"/>
  <c r="I248"/>
  <c r="G248"/>
  <c r="E248"/>
  <c r="M247"/>
  <c r="K247"/>
  <c r="I247"/>
  <c r="G247"/>
  <c r="E247"/>
  <c r="M246"/>
  <c r="K246"/>
  <c r="I246"/>
  <c r="G246"/>
  <c r="E246"/>
  <c r="M245"/>
  <c r="K245"/>
  <c r="I245"/>
  <c r="G245"/>
  <c r="E245"/>
  <c r="M244"/>
  <c r="K244"/>
  <c r="I244"/>
  <c r="G244"/>
  <c r="E244"/>
  <c r="M243"/>
  <c r="K243"/>
  <c r="I243"/>
  <c r="G243"/>
  <c r="E243"/>
  <c r="M242"/>
  <c r="K242"/>
  <c r="I242"/>
  <c r="G242"/>
  <c r="E242"/>
  <c r="M241"/>
  <c r="K241"/>
  <c r="I241"/>
  <c r="G241"/>
  <c r="E241"/>
  <c r="M240"/>
  <c r="K240"/>
  <c r="I240"/>
  <c r="G240"/>
  <c r="E240"/>
  <c r="M239"/>
  <c r="K239"/>
  <c r="I239"/>
  <c r="G239"/>
  <c r="E239"/>
  <c r="M238"/>
  <c r="K238"/>
  <c r="I238"/>
  <c r="G238"/>
  <c r="E238"/>
  <c r="M237"/>
  <c r="K237"/>
  <c r="I237"/>
  <c r="G237"/>
  <c r="E237"/>
  <c r="M236"/>
  <c r="K236"/>
  <c r="I236"/>
  <c r="G236"/>
  <c r="E236"/>
  <c r="M235"/>
  <c r="K235"/>
  <c r="I235"/>
  <c r="G235"/>
  <c r="E235"/>
  <c r="M234"/>
  <c r="K234"/>
  <c r="K274" s="1"/>
  <c r="I234"/>
  <c r="G234"/>
  <c r="G274" s="1"/>
  <c r="E234"/>
  <c r="M228"/>
  <c r="K228"/>
  <c r="I228"/>
  <c r="G228"/>
  <c r="E228"/>
  <c r="M223"/>
  <c r="K223"/>
  <c r="I223"/>
  <c r="G223"/>
  <c r="E223"/>
  <c r="M222"/>
  <c r="K222"/>
  <c r="I222"/>
  <c r="G222"/>
  <c r="E222"/>
  <c r="M221"/>
  <c r="K221"/>
  <c r="I221"/>
  <c r="G221"/>
  <c r="E221"/>
  <c r="M220"/>
  <c r="K220"/>
  <c r="I220"/>
  <c r="G220"/>
  <c r="E220"/>
  <c r="M219"/>
  <c r="K219"/>
  <c r="I219"/>
  <c r="G219"/>
  <c r="E219"/>
  <c r="M218"/>
  <c r="K218"/>
  <c r="I218"/>
  <c r="G218"/>
  <c r="E218"/>
  <c r="M217"/>
  <c r="K217"/>
  <c r="I217"/>
  <c r="G217"/>
  <c r="E217"/>
  <c r="M216"/>
  <c r="K216"/>
  <c r="I216"/>
  <c r="G216"/>
  <c r="E216"/>
  <c r="M215"/>
  <c r="K215"/>
  <c r="I215"/>
  <c r="G215"/>
  <c r="E215"/>
  <c r="M214"/>
  <c r="K214"/>
  <c r="I214"/>
  <c r="G214"/>
  <c r="E214"/>
  <c r="M213"/>
  <c r="K213"/>
  <c r="I213"/>
  <c r="G213"/>
  <c r="E213"/>
  <c r="M212"/>
  <c r="K212"/>
  <c r="I212"/>
  <c r="G212"/>
  <c r="E212"/>
  <c r="M211"/>
  <c r="K211"/>
  <c r="I211"/>
  <c r="G211"/>
  <c r="E211"/>
  <c r="M210"/>
  <c r="K210"/>
  <c r="I210"/>
  <c r="G210"/>
  <c r="E210"/>
  <c r="M209"/>
  <c r="K209"/>
  <c r="I209"/>
  <c r="G209"/>
  <c r="E209"/>
  <c r="M208"/>
  <c r="K208"/>
  <c r="I208"/>
  <c r="G208"/>
  <c r="E208"/>
  <c r="M207"/>
  <c r="K207"/>
  <c r="I207"/>
  <c r="G207"/>
  <c r="E207"/>
  <c r="M206"/>
  <c r="K206"/>
  <c r="I206"/>
  <c r="G206"/>
  <c r="E206"/>
  <c r="M205"/>
  <c r="K205"/>
  <c r="I205"/>
  <c r="G205"/>
  <c r="E205"/>
  <c r="M204"/>
  <c r="K204"/>
  <c r="I204"/>
  <c r="G204"/>
  <c r="E204"/>
  <c r="M203"/>
  <c r="K203"/>
  <c r="I203"/>
  <c r="G203"/>
  <c r="E203"/>
  <c r="M202"/>
  <c r="K202"/>
  <c r="I202"/>
  <c r="G202"/>
  <c r="E202"/>
  <c r="M201"/>
  <c r="K201"/>
  <c r="I201"/>
  <c r="G201"/>
  <c r="E201"/>
  <c r="M195"/>
  <c r="K195"/>
  <c r="I195"/>
  <c r="G195"/>
  <c r="E195"/>
  <c r="M193"/>
  <c r="K193"/>
  <c r="I193"/>
  <c r="G193"/>
  <c r="E193"/>
  <c r="M192"/>
  <c r="K192"/>
  <c r="I192"/>
  <c r="G192"/>
  <c r="E192"/>
  <c r="M191"/>
  <c r="K191"/>
  <c r="I191"/>
  <c r="G191"/>
  <c r="E191"/>
  <c r="M190"/>
  <c r="K190"/>
  <c r="I190"/>
  <c r="G190"/>
  <c r="E190"/>
  <c r="M185"/>
  <c r="K185"/>
  <c r="I185"/>
  <c r="G185"/>
  <c r="E185"/>
  <c r="M184"/>
  <c r="K184"/>
  <c r="I184"/>
  <c r="G184"/>
  <c r="E184"/>
  <c r="M183"/>
  <c r="K183"/>
  <c r="I183"/>
  <c r="G183"/>
  <c r="E183"/>
  <c r="M182"/>
  <c r="K182"/>
  <c r="I182"/>
  <c r="G182"/>
  <c r="E182"/>
  <c r="M181"/>
  <c r="K181"/>
  <c r="I181"/>
  <c r="G181"/>
  <c r="E181"/>
  <c r="M180"/>
  <c r="K180"/>
  <c r="I180"/>
  <c r="G180"/>
  <c r="E180"/>
  <c r="M179"/>
  <c r="K179"/>
  <c r="I179"/>
  <c r="G179"/>
  <c r="E179"/>
  <c r="M178"/>
  <c r="K178"/>
  <c r="I178"/>
  <c r="G178"/>
  <c r="E178"/>
  <c r="M177"/>
  <c r="K177"/>
  <c r="I177"/>
  <c r="G177"/>
  <c r="E177"/>
  <c r="M176"/>
  <c r="K176"/>
  <c r="I176"/>
  <c r="G176"/>
  <c r="E176"/>
  <c r="M175"/>
  <c r="K175"/>
  <c r="I175"/>
  <c r="G175"/>
  <c r="E175"/>
  <c r="M174"/>
  <c r="K174"/>
  <c r="I174"/>
  <c r="G174"/>
  <c r="E174"/>
  <c r="M173"/>
  <c r="K173"/>
  <c r="I173"/>
  <c r="G173"/>
  <c r="E173"/>
  <c r="M172"/>
  <c r="K172"/>
  <c r="I172"/>
  <c r="G172"/>
  <c r="E172"/>
  <c r="M171"/>
  <c r="K171"/>
  <c r="I171"/>
  <c r="G171"/>
  <c r="E171"/>
  <c r="M166"/>
  <c r="K166"/>
  <c r="I166"/>
  <c r="G166"/>
  <c r="E166"/>
  <c r="M162"/>
  <c r="K162"/>
  <c r="I162"/>
  <c r="G162"/>
  <c r="E162"/>
  <c r="M161"/>
  <c r="K161"/>
  <c r="I161"/>
  <c r="G161"/>
  <c r="E161"/>
  <c r="M160"/>
  <c r="K160"/>
  <c r="I160"/>
  <c r="G160"/>
  <c r="E160"/>
  <c r="M155"/>
  <c r="M156" s="1"/>
  <c r="K155"/>
  <c r="K156" s="1"/>
  <c r="I155"/>
  <c r="I156" s="1"/>
  <c r="G155"/>
  <c r="G156" s="1"/>
  <c r="E155"/>
  <c r="E156" s="1"/>
  <c r="C17" i="12" s="1"/>
  <c r="M150" i="17"/>
  <c r="K150"/>
  <c r="I150"/>
  <c r="G150"/>
  <c r="E150"/>
  <c r="M149"/>
  <c r="K149"/>
  <c r="I149"/>
  <c r="G149"/>
  <c r="E149"/>
  <c r="M148"/>
  <c r="K148"/>
  <c r="I148"/>
  <c r="G148"/>
  <c r="E148"/>
  <c r="M147"/>
  <c r="K147"/>
  <c r="I147"/>
  <c r="G147"/>
  <c r="E147"/>
  <c r="M146"/>
  <c r="K146"/>
  <c r="I146"/>
  <c r="G146"/>
  <c r="E146"/>
  <c r="M145"/>
  <c r="K145"/>
  <c r="I145"/>
  <c r="G145"/>
  <c r="E145"/>
  <c r="M144"/>
  <c r="K144"/>
  <c r="I144"/>
  <c r="G144"/>
  <c r="E144"/>
  <c r="M143"/>
  <c r="K143"/>
  <c r="I143"/>
  <c r="G143"/>
  <c r="E143"/>
  <c r="M142"/>
  <c r="K142"/>
  <c r="I142"/>
  <c r="G142"/>
  <c r="E142"/>
  <c r="M141"/>
  <c r="K141"/>
  <c r="I141"/>
  <c r="G141"/>
  <c r="E141"/>
  <c r="M140"/>
  <c r="K140"/>
  <c r="I140"/>
  <c r="G140"/>
  <c r="E140"/>
  <c r="M139"/>
  <c r="K139"/>
  <c r="I139"/>
  <c r="G139"/>
  <c r="E139"/>
  <c r="M138"/>
  <c r="K138"/>
  <c r="I138"/>
  <c r="G138"/>
  <c r="E138"/>
  <c r="M137"/>
  <c r="K137"/>
  <c r="I137"/>
  <c r="G137"/>
  <c r="E137"/>
  <c r="M136"/>
  <c r="K136"/>
  <c r="I136"/>
  <c r="G136"/>
  <c r="E136"/>
  <c r="M135"/>
  <c r="K135"/>
  <c r="I135"/>
  <c r="G135"/>
  <c r="E135"/>
  <c r="M134"/>
  <c r="K134"/>
  <c r="I134"/>
  <c r="G134"/>
  <c r="E134"/>
  <c r="M133"/>
  <c r="K133"/>
  <c r="I133"/>
  <c r="G133"/>
  <c r="E133"/>
  <c r="M132"/>
  <c r="K132"/>
  <c r="I132"/>
  <c r="G132"/>
  <c r="E132"/>
  <c r="M131"/>
  <c r="K131"/>
  <c r="I131"/>
  <c r="G131"/>
  <c r="E131"/>
  <c r="M130"/>
  <c r="K130"/>
  <c r="I130"/>
  <c r="G130"/>
  <c r="E130"/>
  <c r="M129"/>
  <c r="K129"/>
  <c r="I129"/>
  <c r="G129"/>
  <c r="E129"/>
  <c r="M128"/>
  <c r="K128"/>
  <c r="I128"/>
  <c r="G128"/>
  <c r="E128"/>
  <c r="M123"/>
  <c r="K123"/>
  <c r="I123"/>
  <c r="G123"/>
  <c r="E123"/>
  <c r="M122"/>
  <c r="K122"/>
  <c r="I122"/>
  <c r="G122"/>
  <c r="E122"/>
  <c r="M121"/>
  <c r="K121"/>
  <c r="I121"/>
  <c r="G121"/>
  <c r="E121"/>
  <c r="M120"/>
  <c r="K120"/>
  <c r="I120"/>
  <c r="G120"/>
  <c r="E120"/>
  <c r="M112"/>
  <c r="K112"/>
  <c r="I112"/>
  <c r="G112"/>
  <c r="E112"/>
  <c r="M111"/>
  <c r="K111"/>
  <c r="I111"/>
  <c r="G111"/>
  <c r="E111"/>
  <c r="M110"/>
  <c r="K110"/>
  <c r="I110"/>
  <c r="G110"/>
  <c r="E110"/>
  <c r="M109"/>
  <c r="K109"/>
  <c r="I109"/>
  <c r="G109"/>
  <c r="E109"/>
  <c r="M108"/>
  <c r="K108"/>
  <c r="I108"/>
  <c r="G108"/>
  <c r="E108"/>
  <c r="M107"/>
  <c r="K107"/>
  <c r="I107"/>
  <c r="G107"/>
  <c r="E107"/>
  <c r="M106"/>
  <c r="K106"/>
  <c r="I106"/>
  <c r="G106"/>
  <c r="E106"/>
  <c r="M105"/>
  <c r="K105"/>
  <c r="I105"/>
  <c r="G105"/>
  <c r="E105"/>
  <c r="M104"/>
  <c r="K104"/>
  <c r="I104"/>
  <c r="G104"/>
  <c r="E104"/>
  <c r="M103"/>
  <c r="K103"/>
  <c r="I103"/>
  <c r="G103"/>
  <c r="E103"/>
  <c r="M102"/>
  <c r="K102"/>
  <c r="I102"/>
  <c r="G102"/>
  <c r="E102"/>
  <c r="M101"/>
  <c r="K101"/>
  <c r="I101"/>
  <c r="G101"/>
  <c r="E101"/>
  <c r="M100"/>
  <c r="K100"/>
  <c r="I100"/>
  <c r="G100"/>
  <c r="E100"/>
  <c r="M99"/>
  <c r="K99"/>
  <c r="I99"/>
  <c r="G99"/>
  <c r="E99"/>
  <c r="M98"/>
  <c r="K98"/>
  <c r="I98"/>
  <c r="G98"/>
  <c r="E98"/>
  <c r="M97"/>
  <c r="K97"/>
  <c r="I97"/>
  <c r="G97"/>
  <c r="E97"/>
  <c r="M96"/>
  <c r="K96"/>
  <c r="I96"/>
  <c r="G96"/>
  <c r="E96"/>
  <c r="M95"/>
  <c r="K95"/>
  <c r="I95"/>
  <c r="G95"/>
  <c r="E95"/>
  <c r="M94"/>
  <c r="K94"/>
  <c r="I94"/>
  <c r="G94"/>
  <c r="E94"/>
  <c r="M93"/>
  <c r="K93"/>
  <c r="I93"/>
  <c r="G93"/>
  <c r="E93"/>
  <c r="M92"/>
  <c r="K92"/>
  <c r="I92"/>
  <c r="G92"/>
  <c r="E92"/>
  <c r="M91"/>
  <c r="K91"/>
  <c r="I91"/>
  <c r="G91"/>
  <c r="E91"/>
  <c r="M90"/>
  <c r="K90"/>
  <c r="I90"/>
  <c r="G90"/>
  <c r="E90"/>
  <c r="M89"/>
  <c r="K89"/>
  <c r="I89"/>
  <c r="G89"/>
  <c r="E89"/>
  <c r="M88"/>
  <c r="K88"/>
  <c r="I88"/>
  <c r="G88"/>
  <c r="E88"/>
  <c r="M87"/>
  <c r="K87"/>
  <c r="I87"/>
  <c r="G87"/>
  <c r="E87"/>
  <c r="M86"/>
  <c r="K86"/>
  <c r="I86"/>
  <c r="G86"/>
  <c r="E86"/>
  <c r="M85"/>
  <c r="K85"/>
  <c r="I85"/>
  <c r="G85"/>
  <c r="E85"/>
  <c r="M84"/>
  <c r="K84"/>
  <c r="I84"/>
  <c r="G84"/>
  <c r="E84"/>
  <c r="M83"/>
  <c r="K83"/>
  <c r="I83"/>
  <c r="G83"/>
  <c r="E83"/>
  <c r="M82"/>
  <c r="K82"/>
  <c r="I82"/>
  <c r="G82"/>
  <c r="E82"/>
  <c r="M81"/>
  <c r="K81"/>
  <c r="I81"/>
  <c r="G81"/>
  <c r="E81"/>
  <c r="M80"/>
  <c r="K80"/>
  <c r="I80"/>
  <c r="G80"/>
  <c r="E80"/>
  <c r="M79"/>
  <c r="K79"/>
  <c r="I79"/>
  <c r="G79"/>
  <c r="E79"/>
  <c r="M78"/>
  <c r="K78"/>
  <c r="I78"/>
  <c r="G78"/>
  <c r="E78"/>
  <c r="M73"/>
  <c r="K73"/>
  <c r="I73"/>
  <c r="G73"/>
  <c r="E73"/>
  <c r="M72"/>
  <c r="K72"/>
  <c r="I72"/>
  <c r="G72"/>
  <c r="E72"/>
  <c r="M71"/>
  <c r="K71"/>
  <c r="I71"/>
  <c r="G71"/>
  <c r="E71"/>
  <c r="M64"/>
  <c r="K64"/>
  <c r="I64"/>
  <c r="G64"/>
  <c r="E64"/>
  <c r="M63"/>
  <c r="K63"/>
  <c r="I63"/>
  <c r="G63"/>
  <c r="E63"/>
  <c r="M62"/>
  <c r="K62"/>
  <c r="I62"/>
  <c r="G62"/>
  <c r="E62"/>
  <c r="M61"/>
  <c r="K61"/>
  <c r="I61"/>
  <c r="G61"/>
  <c r="E61"/>
  <c r="M60"/>
  <c r="K60"/>
  <c r="I60"/>
  <c r="G60"/>
  <c r="E60"/>
  <c r="M59"/>
  <c r="K59"/>
  <c r="I59"/>
  <c r="G59"/>
  <c r="E59"/>
  <c r="M58"/>
  <c r="K58"/>
  <c r="I58"/>
  <c r="G58"/>
  <c r="E58"/>
  <c r="M57"/>
  <c r="K57"/>
  <c r="I57"/>
  <c r="G57"/>
  <c r="E57"/>
  <c r="M56"/>
  <c r="K56"/>
  <c r="I56"/>
  <c r="G56"/>
  <c r="E56"/>
  <c r="M55"/>
  <c r="K55"/>
  <c r="I55"/>
  <c r="G55"/>
  <c r="E55"/>
  <c r="M54"/>
  <c r="K54"/>
  <c r="I54"/>
  <c r="G54"/>
  <c r="E54"/>
  <c r="M53"/>
  <c r="K53"/>
  <c r="I53"/>
  <c r="G53"/>
  <c r="E53"/>
  <c r="M52"/>
  <c r="K52"/>
  <c r="I52"/>
  <c r="G52"/>
  <c r="E52"/>
  <c r="M51"/>
  <c r="K51"/>
  <c r="I51"/>
  <c r="G51"/>
  <c r="E51"/>
  <c r="M50"/>
  <c r="K50"/>
  <c r="I50"/>
  <c r="G50"/>
  <c r="E50"/>
  <c r="M49"/>
  <c r="K49"/>
  <c r="I49"/>
  <c r="G49"/>
  <c r="E49"/>
  <c r="M48"/>
  <c r="K48"/>
  <c r="I48"/>
  <c r="G48"/>
  <c r="E48"/>
  <c r="M47"/>
  <c r="K47"/>
  <c r="I47"/>
  <c r="G47"/>
  <c r="E47"/>
  <c r="M46"/>
  <c r="K46"/>
  <c r="I46"/>
  <c r="G46"/>
  <c r="E46"/>
  <c r="M45"/>
  <c r="K45"/>
  <c r="I45"/>
  <c r="G45"/>
  <c r="E45"/>
  <c r="M44"/>
  <c r="K44"/>
  <c r="I44"/>
  <c r="G44"/>
  <c r="E44"/>
  <c r="M43"/>
  <c r="K43"/>
  <c r="I43"/>
  <c r="G43"/>
  <c r="E43"/>
  <c r="M42"/>
  <c r="K42"/>
  <c r="I42"/>
  <c r="G42"/>
  <c r="E42"/>
  <c r="M41"/>
  <c r="K41"/>
  <c r="I41"/>
  <c r="G41"/>
  <c r="E41"/>
  <c r="M40"/>
  <c r="K40"/>
  <c r="I40"/>
  <c r="G40"/>
  <c r="E40"/>
  <c r="M39"/>
  <c r="K39"/>
  <c r="I39"/>
  <c r="G39"/>
  <c r="E39"/>
  <c r="M38"/>
  <c r="K38"/>
  <c r="I38"/>
  <c r="G38"/>
  <c r="E38"/>
  <c r="M37"/>
  <c r="K37"/>
  <c r="I37"/>
  <c r="G37"/>
  <c r="E37"/>
  <c r="M36"/>
  <c r="K36"/>
  <c r="I36"/>
  <c r="G36"/>
  <c r="E36"/>
  <c r="M35"/>
  <c r="K35"/>
  <c r="I35"/>
  <c r="G35"/>
  <c r="E35"/>
  <c r="M34"/>
  <c r="K34"/>
  <c r="I34"/>
  <c r="G34"/>
  <c r="E34"/>
  <c r="M33"/>
  <c r="K33"/>
  <c r="I33"/>
  <c r="G33"/>
  <c r="E33"/>
  <c r="M32"/>
  <c r="K32"/>
  <c r="I32"/>
  <c r="G32"/>
  <c r="E32"/>
  <c r="M31"/>
  <c r="K31"/>
  <c r="I31"/>
  <c r="G31"/>
  <c r="E31"/>
  <c r="M30"/>
  <c r="K30"/>
  <c r="I30"/>
  <c r="G30"/>
  <c r="E30"/>
  <c r="M29"/>
  <c r="K29"/>
  <c r="I29"/>
  <c r="G29"/>
  <c r="E29"/>
  <c r="M28"/>
  <c r="K28"/>
  <c r="I28"/>
  <c r="G28"/>
  <c r="E28"/>
  <c r="M27"/>
  <c r="K27"/>
  <c r="I27"/>
  <c r="G27"/>
  <c r="E27"/>
  <c r="M26"/>
  <c r="K26"/>
  <c r="I26"/>
  <c r="G26"/>
  <c r="E26"/>
  <c r="M25"/>
  <c r="K25"/>
  <c r="I25"/>
  <c r="G25"/>
  <c r="E25"/>
  <c r="M24"/>
  <c r="K24"/>
  <c r="I24"/>
  <c r="G24"/>
  <c r="E24"/>
  <c r="M23"/>
  <c r="K23"/>
  <c r="I23"/>
  <c r="G23"/>
  <c r="E23"/>
  <c r="M22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8"/>
  <c r="K18"/>
  <c r="I18"/>
  <c r="G18"/>
  <c r="E18"/>
  <c r="M13"/>
  <c r="K13"/>
  <c r="I13"/>
  <c r="G13"/>
  <c r="E13"/>
  <c r="M12"/>
  <c r="K12"/>
  <c r="I12"/>
  <c r="G12"/>
  <c r="E12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G65" l="1"/>
  <c r="K65"/>
  <c r="G113"/>
  <c r="K113"/>
  <c r="E151"/>
  <c r="C16" i="12" s="1"/>
  <c r="I151" i="17"/>
  <c r="M151"/>
  <c r="E167"/>
  <c r="I186"/>
  <c r="E229"/>
  <c r="C21" i="12" s="1"/>
  <c r="I229" i="17"/>
  <c r="M229"/>
  <c r="E274"/>
  <c r="C22" i="12" s="1"/>
  <c r="I274" i="17"/>
  <c r="M274"/>
  <c r="G379"/>
  <c r="K379"/>
  <c r="G229"/>
  <c r="K229"/>
  <c r="G167"/>
  <c r="G186"/>
  <c r="K186"/>
  <c r="G151"/>
  <c r="K151"/>
  <c r="E113"/>
  <c r="C13" i="12" s="1"/>
  <c r="I113" i="17"/>
  <c r="M113"/>
  <c r="E14"/>
  <c r="C9" i="12" s="1"/>
  <c r="I14" i="17"/>
  <c r="M14"/>
  <c r="E65"/>
  <c r="C10" i="12" s="1"/>
  <c r="I65" i="17"/>
  <c r="M65"/>
  <c r="G74"/>
  <c r="K74"/>
  <c r="E74"/>
  <c r="C12" i="12" s="1"/>
  <c r="I74" i="17"/>
  <c r="M74"/>
  <c r="G124"/>
  <c r="K124"/>
  <c r="K167"/>
  <c r="E196"/>
  <c r="C20" i="12" s="1"/>
  <c r="I196" i="17"/>
  <c r="M196"/>
  <c r="G196"/>
  <c r="K196"/>
  <c r="G363"/>
  <c r="K363"/>
  <c r="G14"/>
  <c r="K14"/>
  <c r="E124"/>
  <c r="C15" i="12" s="1"/>
  <c r="I124" i="17"/>
  <c r="M124"/>
  <c r="I167"/>
  <c r="M167"/>
  <c r="E186"/>
  <c r="C19" i="12" s="1"/>
  <c r="M186" i="17"/>
  <c r="M357"/>
  <c r="E363"/>
  <c r="C24" i="12" s="1"/>
  <c r="I363" i="17"/>
  <c r="M363"/>
  <c r="E379"/>
  <c r="I379"/>
  <c r="M379"/>
  <c r="K380" l="1"/>
  <c r="M6" i="3"/>
  <c r="I380" i="17"/>
  <c r="M380"/>
  <c r="G380"/>
  <c r="C18" i="12"/>
  <c r="C26" s="1"/>
  <c r="E25" i="10" s="1"/>
  <c r="E380" i="17"/>
  <c r="F10" i="3"/>
  <c r="E10"/>
  <c r="D10"/>
  <c r="C10"/>
  <c r="B10"/>
  <c r="F9"/>
  <c r="E9"/>
  <c r="D9"/>
  <c r="C9"/>
  <c r="B9"/>
  <c r="M8"/>
  <c r="G8"/>
  <c r="F8"/>
  <c r="E8"/>
  <c r="D8"/>
  <c r="C8"/>
  <c r="B8"/>
  <c r="L7"/>
  <c r="K7"/>
  <c r="H7"/>
  <c r="F7"/>
  <c r="D7"/>
  <c r="B7"/>
  <c r="I6"/>
  <c r="G6"/>
  <c r="F6"/>
  <c r="E6"/>
  <c r="D6"/>
  <c r="C6"/>
  <c r="B6"/>
  <c r="N20" i="5"/>
  <c r="N19"/>
  <c r="H9" i="9"/>
  <c r="I9" s="1"/>
  <c r="H10"/>
  <c r="I10" s="1"/>
  <c r="H11"/>
  <c r="I11" s="1"/>
  <c r="F12"/>
  <c r="G12"/>
  <c r="I14"/>
  <c r="I15"/>
  <c r="I16"/>
  <c r="F17"/>
  <c r="G17"/>
  <c r="I21"/>
  <c r="I22"/>
  <c r="F24"/>
  <c r="G24"/>
  <c r="I27"/>
  <c r="I28"/>
  <c r="I29"/>
  <c r="I31"/>
  <c r="F32"/>
  <c r="G32"/>
  <c r="I34"/>
  <c r="I36"/>
  <c r="F37"/>
  <c r="G37"/>
  <c r="I42"/>
  <c r="I43"/>
  <c r="I44"/>
  <c r="I45"/>
  <c r="I46"/>
  <c r="I47"/>
  <c r="I48"/>
  <c r="I49"/>
  <c r="I50"/>
  <c r="I51"/>
  <c r="I52"/>
  <c r="I53"/>
  <c r="I54"/>
  <c r="I55"/>
  <c r="I56"/>
  <c r="I57"/>
  <c r="I59"/>
  <c r="I61"/>
  <c r="G64"/>
  <c r="I75"/>
  <c r="I76"/>
  <c r="I77"/>
  <c r="I80"/>
  <c r="I81"/>
  <c r="I82"/>
  <c r="I83"/>
  <c r="I84"/>
  <c r="I85"/>
  <c r="I88"/>
  <c r="I89"/>
  <c r="I90"/>
  <c r="I93"/>
  <c r="I94"/>
  <c r="I95"/>
  <c r="I96"/>
  <c r="I97"/>
  <c r="I98"/>
  <c r="G99"/>
  <c r="H99"/>
  <c r="K6" i="3" l="1"/>
  <c r="H6"/>
  <c r="J6"/>
  <c r="L6"/>
  <c r="H17" i="9"/>
  <c r="I20"/>
  <c r="I24" s="1"/>
  <c r="H24"/>
  <c r="I99"/>
  <c r="G39"/>
  <c r="G100" s="1"/>
  <c r="F39"/>
  <c r="H12"/>
  <c r="I12" s="1"/>
  <c r="I17"/>
  <c r="E16" i="10" l="1"/>
  <c r="N28" i="1"/>
  <c r="N29"/>
  <c r="N16"/>
  <c r="C22" i="2"/>
  <c r="C20"/>
  <c r="D20" s="1"/>
  <c r="G20" s="1"/>
  <c r="E19"/>
  <c r="C19"/>
  <c r="E7" i="3"/>
  <c r="C17" i="2"/>
  <c r="C7" i="3" s="1"/>
  <c r="C12" i="11"/>
  <c r="C13" i="3"/>
  <c r="B13"/>
  <c r="C12"/>
  <c r="B12"/>
  <c r="C11"/>
  <c r="B11"/>
  <c r="E11" l="1"/>
  <c r="D11"/>
  <c r="C18" i="11"/>
  <c r="C14"/>
  <c r="H8" i="3"/>
  <c r="H20" i="2"/>
  <c r="G10" i="3"/>
  <c r="G7"/>
  <c r="G9"/>
  <c r="E22" i="2"/>
  <c r="D12" i="3"/>
  <c r="E13"/>
  <c r="D13"/>
  <c r="F11"/>
  <c r="N30" i="1"/>
  <c r="N26"/>
  <c r="I7" i="3" l="1"/>
  <c r="I8"/>
  <c r="I20" i="2"/>
  <c r="H10" i="3"/>
  <c r="H9"/>
  <c r="E12"/>
  <c r="F13"/>
  <c r="G11"/>
  <c r="I26" i="9"/>
  <c r="M7" i="3" l="1"/>
  <c r="J7"/>
  <c r="J8"/>
  <c r="J20" i="2"/>
  <c r="I10" i="3"/>
  <c r="I9"/>
  <c r="I35" i="9"/>
  <c r="I37" s="1"/>
  <c r="I30"/>
  <c r="I32" s="1"/>
  <c r="H32"/>
  <c r="F12" i="3"/>
  <c r="G13"/>
  <c r="H11"/>
  <c r="L8" l="1"/>
  <c r="K8"/>
  <c r="K20" i="2"/>
  <c r="J10" i="3"/>
  <c r="J9"/>
  <c r="H37" i="9"/>
  <c r="H39" s="1"/>
  <c r="E15" i="10" s="1"/>
  <c r="I39" i="9"/>
  <c r="H22" i="2"/>
  <c r="G12" i="3"/>
  <c r="H13"/>
  <c r="I11"/>
  <c r="L20" i="2" l="1"/>
  <c r="K10" i="3"/>
  <c r="K9"/>
  <c r="H12"/>
  <c r="I22" i="2"/>
  <c r="I13" i="3"/>
  <c r="J11"/>
  <c r="E22" i="11"/>
  <c r="E16"/>
  <c r="E21"/>
  <c r="E20"/>
  <c r="E11"/>
  <c r="M20" i="2" l="1"/>
  <c r="M10" i="3" s="1"/>
  <c r="L10"/>
  <c r="M9"/>
  <c r="L9"/>
  <c r="J22" i="2"/>
  <c r="I12" i="3"/>
  <c r="J13"/>
  <c r="K11"/>
  <c r="O21" i="7"/>
  <c r="O20"/>
  <c r="O18" i="6"/>
  <c r="O19"/>
  <c r="J12" i="3" l="1"/>
  <c r="K22" i="2"/>
  <c r="K13" i="3"/>
  <c r="M11"/>
  <c r="L11"/>
  <c r="C11" i="10"/>
  <c r="D11"/>
  <c r="F16"/>
  <c r="F17"/>
  <c r="C19"/>
  <c r="C28" s="1"/>
  <c r="D19"/>
  <c r="D28" s="1"/>
  <c r="F24"/>
  <c r="F26"/>
  <c r="F30"/>
  <c r="M16" i="7"/>
  <c r="L16"/>
  <c r="K16"/>
  <c r="J16"/>
  <c r="I16"/>
  <c r="H16"/>
  <c r="G16"/>
  <c r="F16"/>
  <c r="E16"/>
  <c r="D16"/>
  <c r="C16"/>
  <c r="B16"/>
  <c r="M8" i="2"/>
  <c r="L8"/>
  <c r="K8"/>
  <c r="J8"/>
  <c r="I8"/>
  <c r="H8"/>
  <c r="G8"/>
  <c r="F8"/>
  <c r="E8"/>
  <c r="D8"/>
  <c r="C8"/>
  <c r="B8"/>
  <c r="B11" s="1"/>
  <c r="M23" i="1"/>
  <c r="M15" i="7" s="1"/>
  <c r="L23" i="1"/>
  <c r="K23"/>
  <c r="J23"/>
  <c r="I23"/>
  <c r="I15" i="7" s="1"/>
  <c r="H23" i="1"/>
  <c r="G23"/>
  <c r="G15" i="7" s="1"/>
  <c r="F23" i="1"/>
  <c r="E23"/>
  <c r="E15" i="7" s="1"/>
  <c r="D23" i="1"/>
  <c r="C23"/>
  <c r="C15" i="7" s="1"/>
  <c r="B23" i="1"/>
  <c r="N10" i="7"/>
  <c r="C24" i="4"/>
  <c r="C23"/>
  <c r="C22"/>
  <c r="C21"/>
  <c r="M15" i="6"/>
  <c r="L15"/>
  <c r="K15"/>
  <c r="J15"/>
  <c r="I15"/>
  <c r="H15"/>
  <c r="G15"/>
  <c r="F15"/>
  <c r="E15"/>
  <c r="D15"/>
  <c r="C15"/>
  <c r="B15"/>
  <c r="M14"/>
  <c r="M14" i="7" s="1"/>
  <c r="L14" i="6"/>
  <c r="L14" i="7" s="1"/>
  <c r="K14" i="6"/>
  <c r="K14" i="7" s="1"/>
  <c r="J14" i="6"/>
  <c r="J14" i="7" s="1"/>
  <c r="I14" i="6"/>
  <c r="I14" i="7" s="1"/>
  <c r="H14" i="6"/>
  <c r="H14" i="7" s="1"/>
  <c r="G14" i="6"/>
  <c r="G14" i="7" s="1"/>
  <c r="F14" i="6"/>
  <c r="F14" i="7" s="1"/>
  <c r="E14" i="6"/>
  <c r="E14" i="7" s="1"/>
  <c r="D14" i="6"/>
  <c r="D14" i="7" s="1"/>
  <c r="C14" i="6"/>
  <c r="C14" i="7" s="1"/>
  <c r="B14" i="6"/>
  <c r="B14" i="7" s="1"/>
  <c r="C7" i="2"/>
  <c r="C24" i="11"/>
  <c r="B12"/>
  <c r="B14" s="1"/>
  <c r="N21" i="7"/>
  <c r="N20"/>
  <c r="N19" i="6"/>
  <c r="N18"/>
  <c r="N23" i="5"/>
  <c r="N22"/>
  <c r="N17" i="3"/>
  <c r="N16"/>
  <c r="B24" i="2"/>
  <c r="N39" i="1"/>
  <c r="N37"/>
  <c r="N20"/>
  <c r="M17"/>
  <c r="M12" i="6" s="1"/>
  <c r="L17" i="1"/>
  <c r="L12" i="6" s="1"/>
  <c r="K17" i="1"/>
  <c r="K12" i="6" s="1"/>
  <c r="J17" i="1"/>
  <c r="J12" i="6" s="1"/>
  <c r="I17" i="1"/>
  <c r="I12" i="6" s="1"/>
  <c r="H17" i="1"/>
  <c r="H12" i="6" s="1"/>
  <c r="G17" i="1"/>
  <c r="G12" i="6" s="1"/>
  <c r="F17" i="1"/>
  <c r="F12" i="6" s="1"/>
  <c r="E17" i="1"/>
  <c r="E12" i="6" s="1"/>
  <c r="D17" i="1"/>
  <c r="D12" i="6" s="1"/>
  <c r="C17" i="1"/>
  <c r="C12" i="6" s="1"/>
  <c r="B17" i="1"/>
  <c r="N15"/>
  <c r="B25" l="1"/>
  <c r="B27" s="1"/>
  <c r="B15" i="7"/>
  <c r="D25" i="1"/>
  <c r="D27" s="1"/>
  <c r="D15" i="7"/>
  <c r="H25" i="1"/>
  <c r="H27" s="1"/>
  <c r="H15" i="7"/>
  <c r="J25" i="1"/>
  <c r="J15" i="7"/>
  <c r="L25" i="1"/>
  <c r="L27" s="1"/>
  <c r="L13" i="7" s="1"/>
  <c r="L15"/>
  <c r="K25" i="1"/>
  <c r="K15" i="7"/>
  <c r="F25" i="1"/>
  <c r="F15" i="7"/>
  <c r="N15" s="1"/>
  <c r="D29" i="10"/>
  <c r="D31" s="1"/>
  <c r="H13" i="7"/>
  <c r="H13" i="6"/>
  <c r="L13"/>
  <c r="D13" i="7"/>
  <c r="D13" i="6"/>
  <c r="B13" i="7"/>
  <c r="B13" i="6"/>
  <c r="F27" i="1"/>
  <c r="J27"/>
  <c r="K27"/>
  <c r="N14" i="6"/>
  <c r="D7" i="2"/>
  <c r="E7" s="1"/>
  <c r="E11" s="1"/>
  <c r="B12" i="6"/>
  <c r="N17" i="1"/>
  <c r="I25"/>
  <c r="L22" i="2"/>
  <c r="K12" i="3"/>
  <c r="M13"/>
  <c r="L13"/>
  <c r="M25" i="1"/>
  <c r="G25"/>
  <c r="E25"/>
  <c r="C25"/>
  <c r="L12" i="5"/>
  <c r="N15" i="6"/>
  <c r="C11" i="2"/>
  <c r="B18" i="11"/>
  <c r="B24" s="1"/>
  <c r="C29" i="10"/>
  <c r="C31" s="1"/>
  <c r="B24" i="12"/>
  <c r="N11" i="3"/>
  <c r="N19" i="1"/>
  <c r="N16" i="7"/>
  <c r="M54" i="1"/>
  <c r="D24" i="2"/>
  <c r="C24"/>
  <c r="N7" i="3"/>
  <c r="B14"/>
  <c r="N23" i="1"/>
  <c r="N12" i="6"/>
  <c r="N14" i="7"/>
  <c r="C14" i="3"/>
  <c r="D11" i="2"/>
  <c r="J13" i="7" l="1"/>
  <c r="J13" i="6"/>
  <c r="L13" i="5"/>
  <c r="L7"/>
  <c r="K13" i="7"/>
  <c r="K13" i="6"/>
  <c r="F13" i="7"/>
  <c r="F13" i="6"/>
  <c r="L11" i="5"/>
  <c r="E27" i="1"/>
  <c r="M27"/>
  <c r="I27"/>
  <c r="C27"/>
  <c r="C13" i="6" s="1"/>
  <c r="G27" i="1"/>
  <c r="L12" i="3"/>
  <c r="M22" i="2"/>
  <c r="M12" i="3" s="1"/>
  <c r="N13"/>
  <c r="N25" i="1"/>
  <c r="J13" i="5"/>
  <c r="J12"/>
  <c r="J7"/>
  <c r="J11"/>
  <c r="K13"/>
  <c r="K11"/>
  <c r="K12"/>
  <c r="K7"/>
  <c r="C6"/>
  <c r="C7"/>
  <c r="H11"/>
  <c r="H12"/>
  <c r="H7"/>
  <c r="D6"/>
  <c r="D7"/>
  <c r="M12"/>
  <c r="M7"/>
  <c r="M13"/>
  <c r="M11"/>
  <c r="I12"/>
  <c r="I7"/>
  <c r="I11"/>
  <c r="E7"/>
  <c r="F12"/>
  <c r="F7"/>
  <c r="G11"/>
  <c r="G12"/>
  <c r="G7"/>
  <c r="F25" i="10"/>
  <c r="F7" i="2"/>
  <c r="F11" s="1"/>
  <c r="D14" i="3"/>
  <c r="E6" i="5"/>
  <c r="F9"/>
  <c r="B7"/>
  <c r="B6"/>
  <c r="M13" i="7" l="1"/>
  <c r="M13" i="6"/>
  <c r="E13" i="7"/>
  <c r="E13" i="6"/>
  <c r="I13" i="7"/>
  <c r="I13" i="6"/>
  <c r="G13" i="7"/>
  <c r="G13" i="6"/>
  <c r="N13" s="1"/>
  <c r="C13" i="7"/>
  <c r="N13" s="1"/>
  <c r="N17" s="1"/>
  <c r="E10" i="10" s="1"/>
  <c r="F10" s="1"/>
  <c r="N27" i="1"/>
  <c r="N12" i="3"/>
  <c r="G7" i="2"/>
  <c r="J10" i="5"/>
  <c r="N7"/>
  <c r="B8"/>
  <c r="B11"/>
  <c r="B9"/>
  <c r="B12"/>
  <c r="B10"/>
  <c r="B13"/>
  <c r="G13"/>
  <c r="G10"/>
  <c r="F13"/>
  <c r="F10"/>
  <c r="E11"/>
  <c r="E8"/>
  <c r="I13"/>
  <c r="I10"/>
  <c r="D13"/>
  <c r="D10"/>
  <c r="C13"/>
  <c r="C10"/>
  <c r="G8"/>
  <c r="F11"/>
  <c r="F8"/>
  <c r="E12"/>
  <c r="E9"/>
  <c r="E13"/>
  <c r="E10"/>
  <c r="D11"/>
  <c r="D8"/>
  <c r="D12"/>
  <c r="D9"/>
  <c r="H13"/>
  <c r="H10"/>
  <c r="C11"/>
  <c r="C8"/>
  <c r="C12"/>
  <c r="C9"/>
  <c r="E14" i="3"/>
  <c r="E24" i="2"/>
  <c r="G9" i="5"/>
  <c r="H8"/>
  <c r="K10"/>
  <c r="H7" i="2"/>
  <c r="G11"/>
  <c r="B14" i="5" l="1"/>
  <c r="B15" s="1"/>
  <c r="D14"/>
  <c r="D15" s="1"/>
  <c r="D10" i="6" s="1"/>
  <c r="C14" i="5"/>
  <c r="C15" s="1"/>
  <c r="C10" i="6" s="1"/>
  <c r="E14" i="5"/>
  <c r="E7" i="6" s="1"/>
  <c r="N13" i="5"/>
  <c r="N12"/>
  <c r="N11"/>
  <c r="F24" i="2"/>
  <c r="F6" i="5"/>
  <c r="F14" s="1"/>
  <c r="F14" i="3"/>
  <c r="H9" i="5"/>
  <c r="I8"/>
  <c r="L10"/>
  <c r="H11" i="2"/>
  <c r="I7"/>
  <c r="B7" i="6" l="1"/>
  <c r="B8" i="7" s="1"/>
  <c r="E15" i="5"/>
  <c r="E10" i="6" s="1"/>
  <c r="E16" s="1"/>
  <c r="C7"/>
  <c r="C8" i="7" s="1"/>
  <c r="D7" i="6"/>
  <c r="E8" i="7"/>
  <c r="G6" i="5"/>
  <c r="G14" s="1"/>
  <c r="G24" i="2"/>
  <c r="G14" i="3"/>
  <c r="F15" i="5"/>
  <c r="F10" i="6" s="1"/>
  <c r="F7"/>
  <c r="I9" i="5"/>
  <c r="J8"/>
  <c r="N10" i="3"/>
  <c r="M10" i="5"/>
  <c r="N10" s="1"/>
  <c r="B10" i="6"/>
  <c r="J7" i="2"/>
  <c r="I11"/>
  <c r="D16" i="6" l="1"/>
  <c r="D8" i="7"/>
  <c r="D9" s="1"/>
  <c r="D11" s="1"/>
  <c r="D18" s="1"/>
  <c r="C16" i="6"/>
  <c r="C11" i="7"/>
  <c r="C18" s="1"/>
  <c r="E9"/>
  <c r="E11" s="1"/>
  <c r="E18" s="1"/>
  <c r="H24" i="2"/>
  <c r="H6" i="5"/>
  <c r="H14" s="1"/>
  <c r="H14" i="3"/>
  <c r="G7" i="6"/>
  <c r="G8" i="7" s="1"/>
  <c r="G15" i="5"/>
  <c r="G10" i="6" s="1"/>
  <c r="F8" i="7"/>
  <c r="F9" s="1"/>
  <c r="F11" s="1"/>
  <c r="F18" s="1"/>
  <c r="F16" i="6"/>
  <c r="J9" i="5"/>
  <c r="K8"/>
  <c r="B16" i="6"/>
  <c r="J11" i="2"/>
  <c r="K7"/>
  <c r="G9" i="7" l="1"/>
  <c r="G11" s="1"/>
  <c r="G18" s="1"/>
  <c r="G16" i="6"/>
  <c r="H7"/>
  <c r="H15" i="5"/>
  <c r="H10" i="6" s="1"/>
  <c r="I24" i="2"/>
  <c r="I6" i="5"/>
  <c r="I14" s="1"/>
  <c r="I14" i="3"/>
  <c r="K9" i="5"/>
  <c r="L8"/>
  <c r="L7" i="2"/>
  <c r="K11"/>
  <c r="J24" l="1"/>
  <c r="J6" i="5"/>
  <c r="J14" s="1"/>
  <c r="J14" i="3"/>
  <c r="H8" i="7"/>
  <c r="H9" s="1"/>
  <c r="H11" s="1"/>
  <c r="H18" s="1"/>
  <c r="H16" i="6"/>
  <c r="I15" i="5"/>
  <c r="I10" i="6" s="1"/>
  <c r="I7"/>
  <c r="L9" i="5"/>
  <c r="M8"/>
  <c r="L11" i="2"/>
  <c r="M7"/>
  <c r="M11" l="1"/>
  <c r="M52" i="1" s="1"/>
  <c r="M53"/>
  <c r="J7" i="6"/>
  <c r="J15" i="5"/>
  <c r="J10" i="6" s="1"/>
  <c r="I16"/>
  <c r="I8" i="7"/>
  <c r="I9" s="1"/>
  <c r="I11" s="1"/>
  <c r="I18" s="1"/>
  <c r="K24" i="2"/>
  <c r="K6" i="5"/>
  <c r="K14" s="1"/>
  <c r="K14" i="3"/>
  <c r="N9"/>
  <c r="M9" i="5"/>
  <c r="N9" s="1"/>
  <c r="N8" i="3"/>
  <c r="N8" i="5"/>
  <c r="K7" i="6" l="1"/>
  <c r="K15" i="5"/>
  <c r="K10" i="6" s="1"/>
  <c r="J16"/>
  <c r="J8" i="7"/>
  <c r="J9" s="1"/>
  <c r="J11" s="1"/>
  <c r="J18" s="1"/>
  <c r="L24" i="2"/>
  <c r="L6" i="5"/>
  <c r="K16" i="6" l="1"/>
  <c r="M24" i="2"/>
  <c r="M6" i="5"/>
  <c r="M14" s="1"/>
  <c r="M14" i="3"/>
  <c r="L14"/>
  <c r="K8" i="7"/>
  <c r="K9" s="1"/>
  <c r="K11" s="1"/>
  <c r="K18" s="1"/>
  <c r="L14" i="5"/>
  <c r="N6" i="3" l="1"/>
  <c r="N6" i="5"/>
  <c r="N14" s="1"/>
  <c r="L7" i="6"/>
  <c r="L15" i="5"/>
  <c r="M15"/>
  <c r="M10" i="6" s="1"/>
  <c r="M7"/>
  <c r="M8" i="7" s="1"/>
  <c r="N14" i="3" l="1"/>
  <c r="M63" i="1" s="1"/>
  <c r="M65" s="1"/>
  <c r="M9" i="7"/>
  <c r="M11" s="1"/>
  <c r="M16" i="6"/>
  <c r="L8" i="7"/>
  <c r="N7" i="6"/>
  <c r="L10"/>
  <c r="N10" s="1"/>
  <c r="N15" i="5"/>
  <c r="L16" i="6" l="1"/>
  <c r="N16" s="1"/>
  <c r="L9" i="7"/>
  <c r="M18"/>
  <c r="D7" i="11" l="1"/>
  <c r="E7" s="1"/>
  <c r="L11" i="7"/>
  <c r="L18" l="1"/>
  <c r="F15" i="10" l="1"/>
  <c r="N8" i="7"/>
  <c r="N9"/>
  <c r="B11" l="1"/>
  <c r="B18" s="1"/>
  <c r="N11" l="1"/>
  <c r="D23" i="11" s="1"/>
  <c r="E23" s="1"/>
  <c r="N18" i="7" l="1"/>
  <c r="H60" i="9"/>
  <c r="E9" i="10"/>
  <c r="H64" i="9" l="1"/>
  <c r="I60"/>
  <c r="I64" s="1"/>
  <c r="E27" i="10"/>
  <c r="F27" s="1"/>
  <c r="E11"/>
  <c r="F11" s="1"/>
  <c r="F9"/>
  <c r="H100" i="9" l="1"/>
  <c r="L81"/>
  <c r="D9" i="11" s="1"/>
  <c r="E9" s="1"/>
  <c r="I100" i="9" l="1"/>
  <c r="L83"/>
  <c r="D10" i="11" s="1"/>
  <c r="E18" i="10"/>
  <c r="F18" l="1"/>
  <c r="E19"/>
  <c r="E10" i="11"/>
  <c r="E12" s="1"/>
  <c r="E14" s="1"/>
  <c r="E18" s="1"/>
  <c r="E24" s="1"/>
  <c r="D12"/>
  <c r="D14" s="1"/>
  <c r="D18" s="1"/>
  <c r="D24" s="1"/>
  <c r="F19" i="10" l="1"/>
  <c r="E28"/>
  <c r="E29" l="1"/>
  <c r="F28"/>
  <c r="F29" l="1"/>
  <c r="E31"/>
  <c r="F31" s="1"/>
</calcChain>
</file>

<file path=xl/sharedStrings.xml><?xml version="1.0" encoding="utf-8"?>
<sst xmlns="http://schemas.openxmlformats.org/spreadsheetml/2006/main" count="1683" uniqueCount="782">
  <si>
    <t xml:space="preserve">ALICIA WATER DISTRICT </t>
  </si>
  <si>
    <t xml:space="preserve">COMPUTATION SCHEDULE </t>
  </si>
  <si>
    <t xml:space="preserve">   JAN.</t>
  </si>
  <si>
    <t xml:space="preserve">   FEB. </t>
  </si>
  <si>
    <t xml:space="preserve">   MAR. </t>
  </si>
  <si>
    <t xml:space="preserve">   APR.</t>
  </si>
  <si>
    <t xml:space="preserve">   MAY </t>
  </si>
  <si>
    <t xml:space="preserve">   JUNE </t>
  </si>
  <si>
    <t xml:space="preserve">   JUL. </t>
  </si>
  <si>
    <t xml:space="preserve">   AUG. </t>
  </si>
  <si>
    <t xml:space="preserve">   SEPT.</t>
  </si>
  <si>
    <t xml:space="preserve">   OCT. </t>
  </si>
  <si>
    <t xml:space="preserve">   NOV. </t>
  </si>
  <si>
    <t xml:space="preserve">   DEC. </t>
  </si>
  <si>
    <t xml:space="preserve"> TOTALS </t>
  </si>
  <si>
    <t xml:space="preserve">   Percentage on Water Bill Coll.on time </t>
  </si>
  <si>
    <t xml:space="preserve">   Per. Penalty Charges collection</t>
  </si>
  <si>
    <t xml:space="preserve">   Per. Current Year Arrears Coll.</t>
  </si>
  <si>
    <t xml:space="preserve">   Per. Previous Year Coll.</t>
  </si>
  <si>
    <t xml:space="preserve">           Actual Collection Efficiency</t>
  </si>
  <si>
    <t>Miscellaneous Service Revenues</t>
  </si>
  <si>
    <t xml:space="preserve">  New Service Connection Charges</t>
  </si>
  <si>
    <t xml:space="preserve">          Number </t>
  </si>
  <si>
    <t xml:space="preserve">          Per Connection </t>
  </si>
  <si>
    <t xml:space="preserve">          Amount</t>
  </si>
  <si>
    <t xml:space="preserve">           Actual New Service Conn.</t>
  </si>
  <si>
    <t xml:space="preserve">           Number </t>
  </si>
  <si>
    <t xml:space="preserve">           Per Connection </t>
  </si>
  <si>
    <t xml:space="preserve">Other Revenues </t>
  </si>
  <si>
    <t xml:space="preserve">         Service Fee</t>
  </si>
  <si>
    <t xml:space="preserve">              Number </t>
  </si>
  <si>
    <t xml:space="preserve">              Per Connection</t>
  </si>
  <si>
    <t xml:space="preserve">              Amount</t>
  </si>
  <si>
    <t xml:space="preserve">          Interest Revenues</t>
  </si>
  <si>
    <t>APPROVED:</t>
  </si>
  <si>
    <t>PREPARED BY:</t>
  </si>
  <si>
    <t>RECOMMENDING APPROVAL</t>
  </si>
  <si>
    <t>For the Board of Directors:</t>
  </si>
  <si>
    <t xml:space="preserve">DANILO A. SEMODIO </t>
  </si>
  <si>
    <t xml:space="preserve">JEORGE A. TOMAS </t>
  </si>
  <si>
    <t xml:space="preserve">       Chairman of the Board </t>
  </si>
  <si>
    <t>Projected Service Connection Year End</t>
  </si>
  <si>
    <t>Service Connection, Average</t>
  </si>
  <si>
    <t>Projected Market Growth/Year</t>
  </si>
  <si>
    <t>Projected Billed Water</t>
  </si>
  <si>
    <t>Projected Non-Revenue Water(%)</t>
  </si>
  <si>
    <t>Projected Total Water Production</t>
  </si>
  <si>
    <t>Rate Increase (%)</t>
  </si>
  <si>
    <t xml:space="preserve">   Chairman of the Board </t>
  </si>
  <si>
    <t xml:space="preserve">SERVICE CONNECTION BUDGET </t>
  </si>
  <si>
    <t xml:space="preserve">  FEB.</t>
  </si>
  <si>
    <t xml:space="preserve">   MAR.</t>
  </si>
  <si>
    <t xml:space="preserve">  APR.</t>
  </si>
  <si>
    <t xml:space="preserve">   JUL.</t>
  </si>
  <si>
    <t xml:space="preserve">   NOV.</t>
  </si>
  <si>
    <t xml:space="preserve">   DEC.</t>
  </si>
  <si>
    <t>Total</t>
  </si>
  <si>
    <t>Total Active Service Conn.-Beg.</t>
  </si>
  <si>
    <t xml:space="preserve">      New Service Connections</t>
  </si>
  <si>
    <t xml:space="preserve">      Reconnections </t>
  </si>
  <si>
    <t>Total Active Service Conn. End.</t>
  </si>
  <si>
    <t xml:space="preserve">       Residential  1/2</t>
  </si>
  <si>
    <t xml:space="preserve">       Commercial 1/2</t>
  </si>
  <si>
    <t xml:space="preserve">       Commercial A 1/2</t>
  </si>
  <si>
    <t xml:space="preserve">       Commercial B 1/2</t>
  </si>
  <si>
    <t xml:space="preserve">       Commercial C 1/2</t>
  </si>
  <si>
    <t xml:space="preserve">       Commercial D 1/2</t>
  </si>
  <si>
    <t xml:space="preserve">       Commercial E 1/2</t>
  </si>
  <si>
    <t xml:space="preserve">       Commercial F 1/2</t>
  </si>
  <si>
    <t>TOTAL CONNECTION FOR BILLING</t>
  </si>
  <si>
    <t>APPROVED :</t>
  </si>
  <si>
    <t>For the Board of Directors</t>
  </si>
  <si>
    <t>DANILO A. SEMODIO</t>
  </si>
  <si>
    <t xml:space="preserve">         Chairman of the Board </t>
  </si>
  <si>
    <t>BUDGETED MONTHLY CONSUMPTION REPORT ( in Cu.m.)</t>
  </si>
  <si>
    <t xml:space="preserve">   FEB.</t>
  </si>
  <si>
    <t xml:space="preserve">   MAY</t>
  </si>
  <si>
    <t xml:space="preserve">  SEPT.</t>
  </si>
  <si>
    <t xml:space="preserve">  OCT.</t>
  </si>
  <si>
    <t>TOTALS</t>
  </si>
  <si>
    <t>Residential 1/2</t>
  </si>
  <si>
    <t>Commercial 1/2</t>
  </si>
  <si>
    <t>Commercial A 1/2</t>
  </si>
  <si>
    <t>Commercial B 1/2</t>
  </si>
  <si>
    <t>Commercial C 1/2</t>
  </si>
  <si>
    <t>Commercial D 1/2</t>
  </si>
  <si>
    <t>Commercial E 1/2</t>
  </si>
  <si>
    <t>Commercial F 1/2</t>
  </si>
  <si>
    <t xml:space="preserve">TOTALS </t>
  </si>
  <si>
    <t>RECOMMENDING APPROVAL:</t>
  </si>
  <si>
    <t>For the Board of Directos:</t>
  </si>
  <si>
    <t>WATER RATES</t>
  </si>
  <si>
    <t xml:space="preserve">   JUNE</t>
  </si>
  <si>
    <t xml:space="preserve">   AUG.</t>
  </si>
  <si>
    <t>Existing Water Rates</t>
  </si>
  <si>
    <t>MINIMUM</t>
  </si>
  <si>
    <t>CHARGE</t>
  </si>
  <si>
    <t xml:space="preserve">  C  O  M  M  O  D  I  T  Y    C  H  A  R  G  E  S  </t>
  </si>
  <si>
    <t>(1-5 Cu.m.)</t>
  </si>
  <si>
    <t>(1-10Cu.m.)</t>
  </si>
  <si>
    <t>(11-20Cu.m.)</t>
  </si>
  <si>
    <t>(21-30Cu.m.)</t>
  </si>
  <si>
    <t>(31-40Cu.m.)</t>
  </si>
  <si>
    <t>(41Cu.m.-Up)</t>
  </si>
  <si>
    <t>Comm'l. A 1/2</t>
  </si>
  <si>
    <t>Comm'l. B 1/2</t>
  </si>
  <si>
    <t>Comm'l. C 1/2</t>
  </si>
  <si>
    <t>41..85</t>
  </si>
  <si>
    <t>Comm'l D 1/2</t>
  </si>
  <si>
    <t>Comm'l. E 1/2</t>
  </si>
  <si>
    <t>Comm'l. F 1/2</t>
  </si>
  <si>
    <t xml:space="preserve">  Prepared by:</t>
  </si>
  <si>
    <t>Recommending Approval:</t>
  </si>
  <si>
    <t xml:space="preserve">  DANILO A. SEMODIO</t>
  </si>
  <si>
    <t xml:space="preserve">     Chairman of the Board</t>
  </si>
  <si>
    <t xml:space="preserve">BUDGETED WATER SALES </t>
  </si>
  <si>
    <t xml:space="preserve">   OCT.</t>
  </si>
  <si>
    <t xml:space="preserve">Total Water Sales </t>
  </si>
  <si>
    <t xml:space="preserve">Penalty Charges </t>
  </si>
  <si>
    <t>Percentage (%)</t>
  </si>
  <si>
    <t xml:space="preserve">    Water Sales</t>
  </si>
  <si>
    <t xml:space="preserve">    Penalty Charge</t>
  </si>
  <si>
    <t>Actual Water Sales</t>
  </si>
  <si>
    <t xml:space="preserve">      Chairman of the Board</t>
  </si>
  <si>
    <t>BUDGETED OPERATING REVENUES</t>
  </si>
  <si>
    <t>.</t>
  </si>
  <si>
    <t xml:space="preserve">  JAN.</t>
  </si>
  <si>
    <t xml:space="preserve">   APR. </t>
  </si>
  <si>
    <t xml:space="preserve">  TOTALS</t>
  </si>
  <si>
    <t>Water Sales</t>
  </si>
  <si>
    <t>Others:</t>
  </si>
  <si>
    <t xml:space="preserve">   Penalty Charges </t>
  </si>
  <si>
    <t xml:space="preserve">   Misc. Service Rev.</t>
  </si>
  <si>
    <t xml:space="preserve">      NSC Charge</t>
  </si>
  <si>
    <t xml:space="preserve">     Gain on Sales of Mat'ls.</t>
  </si>
  <si>
    <t xml:space="preserve">     Service fee</t>
  </si>
  <si>
    <t>Interest and other revenues</t>
  </si>
  <si>
    <t xml:space="preserve">       Actual Operating Rev.</t>
  </si>
  <si>
    <t xml:space="preserve"> </t>
  </si>
  <si>
    <t xml:space="preserve">          Chairman of the Board</t>
  </si>
  <si>
    <t>BUDGETED RECEIPTS</t>
  </si>
  <si>
    <t>Receipts:</t>
  </si>
  <si>
    <t xml:space="preserve">   Collection of Water Sales</t>
  </si>
  <si>
    <t xml:space="preserve">       Current Bills</t>
  </si>
  <si>
    <t xml:space="preserve">       Current Year Arrears</t>
  </si>
  <si>
    <t xml:space="preserve">       Previous Year Arrears</t>
  </si>
  <si>
    <t xml:space="preserve">       Total</t>
  </si>
  <si>
    <t xml:space="preserve">    Other Collections</t>
  </si>
  <si>
    <t xml:space="preserve">       Misc. Service Revenues</t>
  </si>
  <si>
    <t xml:space="preserve">       Interest Revenues/Others</t>
  </si>
  <si>
    <t>Total Receipts</t>
  </si>
  <si>
    <t xml:space="preserve">     Actual Receipts</t>
  </si>
  <si>
    <t xml:space="preserve">                    </t>
  </si>
  <si>
    <t>PREPARED BY :</t>
  </si>
  <si>
    <t xml:space="preserve">       Chairman of the Board</t>
  </si>
  <si>
    <t xml:space="preserve">PERSONNEL RELATED EXPENSE BUDGET </t>
  </si>
  <si>
    <t>ACA,PERA</t>
  </si>
  <si>
    <t>G.S.I.S.</t>
  </si>
  <si>
    <t>ECC</t>
  </si>
  <si>
    <t>MED.</t>
  </si>
  <si>
    <t xml:space="preserve">   RATA</t>
  </si>
  <si>
    <t>CONT.</t>
  </si>
  <si>
    <t>ADMINISTRATIVE DIVISION</t>
  </si>
  <si>
    <t xml:space="preserve">     Sub-total </t>
  </si>
  <si>
    <t>COMMERCIAL DIVISION</t>
  </si>
  <si>
    <t>ENGINEERING DIVISION</t>
  </si>
  <si>
    <t xml:space="preserve">GRAND TOTALS </t>
  </si>
  <si>
    <t xml:space="preserve">  General Manager </t>
  </si>
  <si>
    <t xml:space="preserve">DETAILED EXPENSES BUDGET </t>
  </si>
  <si>
    <t>Actual</t>
  </si>
  <si>
    <t xml:space="preserve">Budgeted </t>
  </si>
  <si>
    <t>Proposed</t>
  </si>
  <si>
    <t>PERSONNEL EXPENDITURES</t>
  </si>
  <si>
    <t>Administrative</t>
  </si>
  <si>
    <t>Basic Salaries</t>
  </si>
  <si>
    <t>PERA, ACA,RATA</t>
  </si>
  <si>
    <t>13th month pay</t>
  </si>
  <si>
    <t>S-Total</t>
  </si>
  <si>
    <t>Commercial Division:</t>
  </si>
  <si>
    <t xml:space="preserve">Basic Salaries </t>
  </si>
  <si>
    <t>PERA, ACA</t>
  </si>
  <si>
    <t xml:space="preserve">13TH Month pay </t>
  </si>
  <si>
    <t>Engineering Division:</t>
  </si>
  <si>
    <t>PERA, ACA,</t>
  </si>
  <si>
    <t>Anniversary Bonus</t>
  </si>
  <si>
    <t>X'mas cash gift/Bonus</t>
  </si>
  <si>
    <t>Monetize leave credits</t>
  </si>
  <si>
    <t xml:space="preserve">GSIS Expense </t>
  </si>
  <si>
    <t>PAG-IBIG FUND Expenses</t>
  </si>
  <si>
    <t>NON-PERSONNEL EXPENDITURES</t>
  </si>
  <si>
    <t xml:space="preserve">     Registration &amp; Insurance </t>
  </si>
  <si>
    <t xml:space="preserve">     Training Expense </t>
  </si>
  <si>
    <t xml:space="preserve">     Donation for Calamities and Disasters</t>
  </si>
  <si>
    <t xml:space="preserve">     Advertising &amp; Promotion </t>
  </si>
  <si>
    <t xml:space="preserve">     Rent </t>
  </si>
  <si>
    <t xml:space="preserve">     Miscellaneous Gen. &amp; Admin. Expense</t>
  </si>
  <si>
    <t xml:space="preserve">     Taxes and Licenses ( Corporate I/T, F/T )</t>
  </si>
  <si>
    <t>S-total</t>
  </si>
  <si>
    <t>Budgeted</t>
  </si>
  <si>
    <t>SOURCE:</t>
  </si>
  <si>
    <t xml:space="preserve">   Maintenance:</t>
  </si>
  <si>
    <t xml:space="preserve">     Maint. Of structure &amp; Improvement</t>
  </si>
  <si>
    <t xml:space="preserve">     Maintenance of Wells </t>
  </si>
  <si>
    <t xml:space="preserve">     Maint.of Other Source of Supply Plant</t>
  </si>
  <si>
    <t>PUMPING EXPENSES:</t>
  </si>
  <si>
    <t xml:space="preserve">   Operation/Maintenance:</t>
  </si>
  <si>
    <t xml:space="preserve">     Power Production Labor and Expense</t>
  </si>
  <si>
    <t xml:space="preserve">     Fuel or Power Purchased for Pumping </t>
  </si>
  <si>
    <t xml:space="preserve">     Maint. Of Power Prod'n. Equipment</t>
  </si>
  <si>
    <t xml:space="preserve">     Maintenance of Pumping Equipment </t>
  </si>
  <si>
    <t xml:space="preserve">     Maint. Of other Pumping Equipment</t>
  </si>
  <si>
    <t>WATER TREATMENT EXPENSES:</t>
  </si>
  <si>
    <t xml:space="preserve">     Chemical &amp; Filtering Materials </t>
  </si>
  <si>
    <t xml:space="preserve">     Maint. Of Water Treatment Equipment</t>
  </si>
  <si>
    <t>TRANSMISSION AND DISTRIBUTION EXPENSES:</t>
  </si>
  <si>
    <t xml:space="preserve">     Maint. of structure &amp; Improvement</t>
  </si>
  <si>
    <t xml:space="preserve">     Maintenance of Reservoir &amp; Tank </t>
  </si>
  <si>
    <t xml:space="preserve">     Maint. of Transmission &amp; Dist, main</t>
  </si>
  <si>
    <t>Grand Total Personnel and Non-Personnel Exp.</t>
  </si>
  <si>
    <t>ALICIA WATER DISTRICT</t>
  </si>
  <si>
    <t xml:space="preserve">BUDGETED CASH FLOW </t>
  </si>
  <si>
    <t xml:space="preserve">Proposed </t>
  </si>
  <si>
    <t xml:space="preserve">variance </t>
  </si>
  <si>
    <t xml:space="preserve">   Water Bills Receipts</t>
  </si>
  <si>
    <t xml:space="preserve">     </t>
  </si>
  <si>
    <t>Less: Disbursement</t>
  </si>
  <si>
    <t xml:space="preserve">    Salaries</t>
  </si>
  <si>
    <t xml:space="preserve">    Fuel, or Power Purchased for Pumping</t>
  </si>
  <si>
    <t xml:space="preserve">    Chemical &amp; Filtering Materials</t>
  </si>
  <si>
    <t xml:space="preserve">    Other Operation and Maintenance </t>
  </si>
  <si>
    <t xml:space="preserve">     Total  </t>
  </si>
  <si>
    <t xml:space="preserve">    Debt Service :</t>
  </si>
  <si>
    <t xml:space="preserve">        Current</t>
  </si>
  <si>
    <t xml:space="preserve">        Proposed Restructuring Loan</t>
  </si>
  <si>
    <t xml:space="preserve">        Total Debt Service </t>
  </si>
  <si>
    <t xml:space="preserve">     Capital Expenditures</t>
  </si>
  <si>
    <t xml:space="preserve">     Fund Reserves</t>
  </si>
  <si>
    <t xml:space="preserve">     Corporate Income Tax/ Franchise Tax</t>
  </si>
  <si>
    <t xml:space="preserve">     Total Disbursement </t>
  </si>
  <si>
    <t>Cash Receipt ( Disbursement)</t>
  </si>
  <si>
    <t xml:space="preserve">Add: Cash Balance Beginning </t>
  </si>
  <si>
    <t xml:space="preserve">Budget Cash Balance Ending </t>
  </si>
  <si>
    <t xml:space="preserve">                                              APPROVED:</t>
  </si>
  <si>
    <t xml:space="preserve">                                              For the Board of Directors:</t>
  </si>
  <si>
    <t xml:space="preserve">                                                    Chairman of the Board</t>
  </si>
  <si>
    <t xml:space="preserve">BUDGETED INCOME STATEMENT </t>
  </si>
  <si>
    <t xml:space="preserve">Proposed  </t>
  </si>
  <si>
    <t xml:space="preserve">Actual  </t>
  </si>
  <si>
    <t xml:space="preserve"> Budget</t>
  </si>
  <si>
    <t xml:space="preserve">Operating Revenues </t>
  </si>
  <si>
    <t>Less:</t>
  </si>
  <si>
    <t xml:space="preserve">      Operation Expenses</t>
  </si>
  <si>
    <t xml:space="preserve">      Maintenance Expenses</t>
  </si>
  <si>
    <t xml:space="preserve">      Depreciation Expenses</t>
  </si>
  <si>
    <t xml:space="preserve">      Total</t>
  </si>
  <si>
    <t>Net Income from operation</t>
  </si>
  <si>
    <t>Add: Other Revenues</t>
  </si>
  <si>
    <t xml:space="preserve">       Interest Revenues / Others</t>
  </si>
  <si>
    <t>Net Income before Interest Charges</t>
  </si>
  <si>
    <t>Less: Interest Charges</t>
  </si>
  <si>
    <t xml:space="preserve">              Interest on Longterm Debt</t>
  </si>
  <si>
    <t>Other Charges:</t>
  </si>
  <si>
    <t xml:space="preserve">              Franchise/Income Taxes</t>
  </si>
  <si>
    <t>BUDGETED NET INCOME (LOSS)</t>
  </si>
  <si>
    <t>Prepared by:</t>
  </si>
  <si>
    <t xml:space="preserve">               </t>
  </si>
  <si>
    <t xml:space="preserve">                                                   For the Board of Directors:</t>
  </si>
  <si>
    <t>TOOLS, SHOP AND GARAGE EQUIPMENT</t>
  </si>
  <si>
    <t xml:space="preserve">Prepared by:                                                                  </t>
  </si>
  <si>
    <t xml:space="preserve">DANILO A. SEMODIO                                                         </t>
  </si>
  <si>
    <t xml:space="preserve">                                               APPROVED:</t>
  </si>
  <si>
    <t xml:space="preserve">                                               For the Board of Directors</t>
  </si>
  <si>
    <t xml:space="preserve">                                                   Chairman of the Board</t>
  </si>
  <si>
    <t>Cash Gift</t>
  </si>
  <si>
    <t>/Bonus</t>
  </si>
  <si>
    <t>Contribu-</t>
  </si>
  <si>
    <t>tion</t>
  </si>
  <si>
    <t>Pag-Ibig</t>
  </si>
  <si>
    <t>13th</t>
  </si>
  <si>
    <t>Month</t>
  </si>
  <si>
    <t>Overtime</t>
  </si>
  <si>
    <t>Pay</t>
  </si>
  <si>
    <t xml:space="preserve">     Uncollectible Accounts</t>
  </si>
  <si>
    <t>Budget</t>
  </si>
  <si>
    <t xml:space="preserve">       Bill of Materials</t>
  </si>
  <si>
    <t xml:space="preserve">   Other Receipts</t>
  </si>
  <si>
    <t>BASIC</t>
  </si>
  <si>
    <t>SALARY</t>
  </si>
  <si>
    <t xml:space="preserve">Total </t>
  </si>
  <si>
    <t>PBB</t>
  </si>
  <si>
    <t>Total Personnel Expenditures…………..</t>
  </si>
  <si>
    <t>O&amp;M</t>
  </si>
  <si>
    <t>Maintenance</t>
  </si>
  <si>
    <t>Water Sales Collection</t>
  </si>
  <si>
    <t>ER'S</t>
  </si>
  <si>
    <t>Monetization of leave</t>
  </si>
  <si>
    <t>Clothing</t>
  </si>
  <si>
    <t>JAT</t>
  </si>
  <si>
    <t>SG 24</t>
  </si>
  <si>
    <t>General Manager D</t>
  </si>
  <si>
    <t>DPA (on going)</t>
  </si>
  <si>
    <t>2nd level</t>
  </si>
  <si>
    <t>DAS</t>
  </si>
  <si>
    <t>SG 14</t>
  </si>
  <si>
    <t>Admin./Gen. Ser. Officer B</t>
  </si>
  <si>
    <t>BS Accountancy</t>
  </si>
  <si>
    <t>none</t>
  </si>
  <si>
    <t>Vicy</t>
  </si>
  <si>
    <t>SG 10</t>
  </si>
  <si>
    <t>Cashier D</t>
  </si>
  <si>
    <t>BS Commerce</t>
  </si>
  <si>
    <t>Jen</t>
  </si>
  <si>
    <t>SG 4</t>
  </si>
  <si>
    <t>BSBA Management Accounting</t>
  </si>
  <si>
    <t>Jayrime</t>
  </si>
  <si>
    <t>BSBA Management</t>
  </si>
  <si>
    <t>1st level</t>
  </si>
  <si>
    <t>Utility Worker 1B</t>
  </si>
  <si>
    <t>Gerry</t>
  </si>
  <si>
    <t>Utilities/Cus. Service Officer B</t>
  </si>
  <si>
    <t>BEEd</t>
  </si>
  <si>
    <t>RA 1081</t>
  </si>
  <si>
    <t>Geoff</t>
  </si>
  <si>
    <t>SG 8</t>
  </si>
  <si>
    <t>Industrial Rel. Mngt. Ass't B</t>
  </si>
  <si>
    <t>College level</t>
  </si>
  <si>
    <t>SG 6</t>
  </si>
  <si>
    <t>Utilities/Cust. Serv. Asst't D</t>
  </si>
  <si>
    <t>Marvin</t>
  </si>
  <si>
    <t>Utilities/Cust. Serv. Asst't E</t>
  </si>
  <si>
    <t>Buddy</t>
  </si>
  <si>
    <t>Jun</t>
  </si>
  <si>
    <t>BSEE</t>
  </si>
  <si>
    <t>Jeff</t>
  </si>
  <si>
    <t>Water Res.Fac.Optr. C</t>
  </si>
  <si>
    <t>BS Industrial Tech</t>
  </si>
  <si>
    <t>MC</t>
  </si>
  <si>
    <t>Camilo</t>
  </si>
  <si>
    <t>Cabron</t>
  </si>
  <si>
    <t>Bong</t>
  </si>
  <si>
    <t>Engineering Aide A</t>
  </si>
  <si>
    <t>High School</t>
  </si>
  <si>
    <t>NC2</t>
  </si>
  <si>
    <t>Roger</t>
  </si>
  <si>
    <t>Elementary level</t>
  </si>
  <si>
    <t>Dadong</t>
  </si>
  <si>
    <t>SG 1</t>
  </si>
  <si>
    <t>Elementary Graduate</t>
  </si>
  <si>
    <t xml:space="preserve">Job Order (2) </t>
  </si>
  <si>
    <t xml:space="preserve">  2014 Actual Gain on Outside Sales</t>
  </si>
  <si>
    <t xml:space="preserve">  2014  Actual Gain on Sales of Mat'ls.</t>
  </si>
  <si>
    <t xml:space="preserve">   Gain on Outside Sales of Materials</t>
  </si>
  <si>
    <t xml:space="preserve">   Total Gain on Sales of Materials</t>
  </si>
  <si>
    <t xml:space="preserve">   Gain on Sales of materials(NSC)</t>
  </si>
  <si>
    <t>Job Orders</t>
  </si>
  <si>
    <t>Actual Penalty Charges</t>
  </si>
  <si>
    <t>PhilHealth</t>
  </si>
  <si>
    <t xml:space="preserve">               Extra-Ordinary Loss (Fire)</t>
  </si>
  <si>
    <t xml:space="preserve">ANNUAL PROCUREMENT PLAN </t>
  </si>
  <si>
    <t>Office Equipment</t>
  </si>
  <si>
    <t>Description</t>
  </si>
  <si>
    <t>Unit Cost</t>
  </si>
  <si>
    <t>QTY</t>
  </si>
  <si>
    <t>UNIT</t>
  </si>
  <si>
    <t>TOTAL</t>
  </si>
  <si>
    <t>First Quarter</t>
  </si>
  <si>
    <t>Second Quarter</t>
  </si>
  <si>
    <t>Third Quarter</t>
  </si>
  <si>
    <t>Fourth Quarter</t>
  </si>
  <si>
    <t>Qty</t>
  </si>
  <si>
    <t>Amount</t>
  </si>
  <si>
    <t>Computer</t>
  </si>
  <si>
    <t>set</t>
  </si>
  <si>
    <t xml:space="preserve">Office Table </t>
  </si>
  <si>
    <t>pc</t>
  </si>
  <si>
    <t>Photocopying Machine</t>
  </si>
  <si>
    <t>unit</t>
  </si>
  <si>
    <t>Sub-Total:</t>
  </si>
  <si>
    <t>pcs</t>
  </si>
  <si>
    <t>High Tension Wire Crimper</t>
  </si>
  <si>
    <t>Plastic Pipe Cutter</t>
  </si>
  <si>
    <t>Water Meter 1/2"</t>
  </si>
  <si>
    <t>MAINTENANCE MATERIALS</t>
  </si>
  <si>
    <t>Brass Ball Valve w/ LW 1/2"</t>
  </si>
  <si>
    <t>Blind Rivets 3/16" x 3/4"</t>
  </si>
  <si>
    <t>box</t>
  </si>
  <si>
    <t>CI End Cap 2"</t>
  </si>
  <si>
    <t>CI End Cap 3"</t>
  </si>
  <si>
    <t>CI End Cap 4"</t>
  </si>
  <si>
    <t>CI Gate Valve 2" mm</t>
  </si>
  <si>
    <t>CI Gate Valve 3" mm</t>
  </si>
  <si>
    <t>CI Gate Valve 4" mm</t>
  </si>
  <si>
    <t>CI Gate Valve 6" mm</t>
  </si>
  <si>
    <t>CI STC 2"</t>
  </si>
  <si>
    <t>CI STC 3"</t>
  </si>
  <si>
    <t>CI STC 4"</t>
  </si>
  <si>
    <t>CI STC 6"</t>
  </si>
  <si>
    <t>Flat Washer 3/16 X 3/4"</t>
  </si>
  <si>
    <t>kg</t>
  </si>
  <si>
    <t>GI Coupling 1/2"</t>
  </si>
  <si>
    <t>GI Elbow 1/2"</t>
  </si>
  <si>
    <t>GI Plug 1/2"</t>
  </si>
  <si>
    <t>GI Plug 3/4"</t>
  </si>
  <si>
    <t>GI St. Elbow 1/2"</t>
  </si>
  <si>
    <t>LC Elbow Adapter 1/2"</t>
  </si>
  <si>
    <t>LC Female Elbow Adapter 1/2"</t>
  </si>
  <si>
    <t>LC Male Adaptor 1/2"</t>
  </si>
  <si>
    <t>LC Tee Adapter 1/2"</t>
  </si>
  <si>
    <t>LC Union Coupler 1/2"</t>
  </si>
  <si>
    <t>PE Pipe  1/2" X 300 meters</t>
  </si>
  <si>
    <t>rolls</t>
  </si>
  <si>
    <t>SERVICE CONNECTION MATERIALS</t>
  </si>
  <si>
    <t>Brass Male Adaptor 1/2"</t>
  </si>
  <si>
    <t>C-Clamp 1/2"</t>
  </si>
  <si>
    <t>Faucet 1/2"</t>
  </si>
  <si>
    <t>GI Bushing Reducer 3/4" X 1/2"</t>
  </si>
  <si>
    <t>GI Coupling Reducer 3/4" X 1/2"</t>
  </si>
  <si>
    <t>GI Elbow Reducer 3/4 X 1/2"</t>
  </si>
  <si>
    <t>GI Nipple 1/2" X 2"</t>
  </si>
  <si>
    <t>GI Pipe 1/2"</t>
  </si>
  <si>
    <t>GI Tee 1/2"</t>
  </si>
  <si>
    <t>GI Tee Reducer 3/4" X 1/2"</t>
  </si>
  <si>
    <t>LC Female Elbow 1/2"</t>
  </si>
  <si>
    <t>PE Pipe 1/2" X 300 meters</t>
  </si>
  <si>
    <t>bot.</t>
  </si>
  <si>
    <t>Plastic Clamp Saddle 1 1/4" X 1/2"</t>
  </si>
  <si>
    <t>Plastic Clamp Saddle 2" X 1/2"</t>
  </si>
  <si>
    <t>Plastic Clamp Saddle 3" X 1/2"</t>
  </si>
  <si>
    <t>Plastic Clamp Saddle 4" X 1/2"</t>
  </si>
  <si>
    <t>PVC Elbow Plain 1/2"</t>
  </si>
  <si>
    <t>PVC Elbow Threaded 1/2"</t>
  </si>
  <si>
    <t>PVC Female Adapter 1/2"</t>
  </si>
  <si>
    <t>PVC Male Adaptor 1/2"</t>
  </si>
  <si>
    <t>PVC Pipe 1/2" X 3 meters</t>
  </si>
  <si>
    <t>PVC Tee Plain 1/2"</t>
  </si>
  <si>
    <t>PVC Tee Threaded 1/2"</t>
  </si>
  <si>
    <t>Teflon Tape 1/2</t>
  </si>
  <si>
    <t>Water Meter 1"</t>
  </si>
  <si>
    <t>EXPANSION OF SERVICES</t>
  </si>
  <si>
    <t>Brass Gate Valve 1"</t>
  </si>
  <si>
    <t>Brass Gate Valve 2"</t>
  </si>
  <si>
    <t>Brass Gate Valve 3/4"</t>
  </si>
  <si>
    <t>Brass Male Adaptor 1"</t>
  </si>
  <si>
    <r>
      <t>CI Elbow 2 X 45</t>
    </r>
    <r>
      <rPr>
        <sz val="12"/>
        <color theme="1"/>
        <rFont val="Calibri"/>
        <family val="2"/>
      </rPr>
      <t>⁰</t>
    </r>
  </si>
  <si>
    <t>CI Elbow 2 X 90⁰</t>
  </si>
  <si>
    <t>CI Elbow 3 X 45⁰</t>
  </si>
  <si>
    <r>
      <t>CI Elbow 3 X 90</t>
    </r>
    <r>
      <rPr>
        <sz val="12"/>
        <color theme="1"/>
        <rFont val="Calibri"/>
        <family val="2"/>
      </rPr>
      <t>⁰</t>
    </r>
  </si>
  <si>
    <t>CI Tee 2"</t>
  </si>
  <si>
    <t>CI Tee 3"</t>
  </si>
  <si>
    <t>CI Tee 4"</t>
  </si>
  <si>
    <t>CI Tee Reducer 3 X 2"</t>
  </si>
  <si>
    <t>CI Tee Reducer 4 X 2"</t>
  </si>
  <si>
    <t xml:space="preserve">CI Valve Box Cover </t>
  </si>
  <si>
    <t>GI Elbow 1"</t>
  </si>
  <si>
    <t>GI Elbow 2"</t>
  </si>
  <si>
    <t>GI Nipple 1" X 4"</t>
  </si>
  <si>
    <t>GI Pipe 2"</t>
  </si>
  <si>
    <t>GI Plug 1"</t>
  </si>
  <si>
    <t>GI Plug 2"</t>
  </si>
  <si>
    <t>GI Tee 1"</t>
  </si>
  <si>
    <t>GI Tee 2"</t>
  </si>
  <si>
    <t>GI Tee 3/4"</t>
  </si>
  <si>
    <t>GI Tee Reducer 1 X 1/2"</t>
  </si>
  <si>
    <t>GI Tee Reducer 1 X 3/4"</t>
  </si>
  <si>
    <t>LC Elbow Adapter 1"</t>
  </si>
  <si>
    <t>LC Elbow Adapter 3/4"</t>
  </si>
  <si>
    <t>LC Female Elbow 1 1/4"</t>
  </si>
  <si>
    <t>LC Female Elbow 1"</t>
  </si>
  <si>
    <t>LC Female Elbow 3/4"</t>
  </si>
  <si>
    <t>LC Male Adaptor 1"</t>
  </si>
  <si>
    <t>LC Male Adaptor 2"</t>
  </si>
  <si>
    <t>LC Male Adaptor 3/4"</t>
  </si>
  <si>
    <t>LC Tee Adapter 1 1/4"</t>
  </si>
  <si>
    <t>LC Tee Adapter 1"</t>
  </si>
  <si>
    <t>LC Union Coupler 1 1/4"</t>
  </si>
  <si>
    <t>LC Union Coupler 1"</t>
  </si>
  <si>
    <t>LC Union Coupler 2"</t>
  </si>
  <si>
    <t>LC Union Coupler 3/4"</t>
  </si>
  <si>
    <t>PE Pipe 1 1/4" X 60 meters</t>
  </si>
  <si>
    <t>roll</t>
  </si>
  <si>
    <t>PE Pipe 1" X 100 meters</t>
  </si>
  <si>
    <t>PE Pipe 3/4" X 150 meters</t>
  </si>
  <si>
    <t>Plastic Clamp Saddle 2 X 1"</t>
  </si>
  <si>
    <t>Plastic Clamp Saddle 2 X 3/4"</t>
  </si>
  <si>
    <t>Plastic Clamp Saddle 3 X 3/4"</t>
  </si>
  <si>
    <t>Plastic Clamp Saddle 4 X 1"</t>
  </si>
  <si>
    <t>Plastic Clamp Saddle 4 X 3/4"</t>
  </si>
  <si>
    <r>
      <t>PVC Elbow 2 X 45</t>
    </r>
    <r>
      <rPr>
        <sz val="12"/>
        <color theme="1"/>
        <rFont val="Calibri"/>
        <family val="2"/>
      </rPr>
      <t>⁰</t>
    </r>
  </si>
  <si>
    <t>PVC Elbow 2 X 90⁰</t>
  </si>
  <si>
    <t>PVC Pipe 2" X 6 meters</t>
  </si>
  <si>
    <t>PVC Pipe 3" X 6 meters</t>
  </si>
  <si>
    <t>PVC Pipe 4" X 6 meters</t>
  </si>
  <si>
    <t>PVC Pipe 6" X 6 meters</t>
  </si>
  <si>
    <t>PVC Tee 2"</t>
  </si>
  <si>
    <t xml:space="preserve">Warning Tape </t>
  </si>
  <si>
    <t>FUELS AND CHEMICALS</t>
  </si>
  <si>
    <t>Diesel</t>
  </si>
  <si>
    <t>Ball Pen (Blue/Black)</t>
  </si>
  <si>
    <t>Battery AA</t>
  </si>
  <si>
    <t>Blank Tape C-90</t>
  </si>
  <si>
    <t>ream</t>
  </si>
  <si>
    <t>Brown Envelope (Long)</t>
  </si>
  <si>
    <t>Columnar Book 16 Columns</t>
  </si>
  <si>
    <t xml:space="preserve">Correction Tape </t>
  </si>
  <si>
    <t>File Folder (Long)</t>
  </si>
  <si>
    <t>Index Card 1/8</t>
  </si>
  <si>
    <t>Packing Tape</t>
  </si>
  <si>
    <t>Paper Clip</t>
  </si>
  <si>
    <t>Paper Fastener</t>
  </si>
  <si>
    <t>Photocopying Machine Toner</t>
  </si>
  <si>
    <t>Record Book 200 Pages</t>
  </si>
  <si>
    <t>Rubber Band</t>
  </si>
  <si>
    <t>Scotch Tape 1"</t>
  </si>
  <si>
    <t>Sign Pen (Black/Blue)</t>
  </si>
  <si>
    <t>Staple Wire No. 35</t>
  </si>
  <si>
    <t>Type Writer Ribbon</t>
  </si>
  <si>
    <t>GRAND TOTALS:</t>
  </si>
  <si>
    <t>Noted by:</t>
  </si>
  <si>
    <t>JAYRIME C. CARAMBAS</t>
  </si>
  <si>
    <t>JEORGE A. TOMAS</t>
  </si>
  <si>
    <t>Maintenance Materials</t>
  </si>
  <si>
    <t>Service Connection Materials</t>
  </si>
  <si>
    <t>Expansion of Services</t>
  </si>
  <si>
    <t>Office Supplies</t>
  </si>
  <si>
    <t>Uniform Allowance</t>
  </si>
  <si>
    <t xml:space="preserve">Overtime and Holiday pay </t>
  </si>
  <si>
    <t>Employees benefits:</t>
  </si>
  <si>
    <t>Sub Total</t>
  </si>
  <si>
    <t>Program/Activity Plan</t>
  </si>
  <si>
    <t>Gender Related Issues and Concern</t>
  </si>
  <si>
    <t>Objectives</t>
  </si>
  <si>
    <t>Expected Output</t>
  </si>
  <si>
    <t>Identified Activities</t>
  </si>
  <si>
    <t>Participants</t>
  </si>
  <si>
    <t>Time Frame</t>
  </si>
  <si>
    <t>In-charge</t>
  </si>
  <si>
    <t>Performance Indicator</t>
  </si>
  <si>
    <t>Seminar/ Workshop</t>
  </si>
  <si>
    <t>Geoffrey P. Ramil</t>
  </si>
  <si>
    <t>Capacity Development on Gender Mainstreaming</t>
  </si>
  <si>
    <t>Lack of skills in the application of GAD concepts to governance</t>
  </si>
  <si>
    <t>To develop skills in applying GAD concepts</t>
  </si>
  <si>
    <t>Selected key officers are able to apply skills in their line of work</t>
  </si>
  <si>
    <t>Trainings and workshops</t>
  </si>
  <si>
    <t>BOD                    General Manager                  Section Heads</t>
  </si>
  <si>
    <t>1st quarter</t>
  </si>
  <si>
    <t>BODs and departments are gender responsive</t>
  </si>
  <si>
    <t>Health and Wellness Program</t>
  </si>
  <si>
    <t>To perform job/work effectively</t>
  </si>
  <si>
    <t>Healthy and active employees</t>
  </si>
  <si>
    <t>2nd quarter</t>
  </si>
  <si>
    <t>Report/ medical certificate from Physician/ Dentist</t>
  </si>
  <si>
    <t xml:space="preserve">     Gender and Development</t>
  </si>
  <si>
    <t>Chlorine Granules</t>
  </si>
  <si>
    <t>BS Marine Engineering (1st year-24 units)</t>
  </si>
  <si>
    <t>College level(BS Anim Science-3rd year)</t>
  </si>
  <si>
    <t>Paper Puncher</t>
  </si>
  <si>
    <t xml:space="preserve">18 employees          </t>
  </si>
  <si>
    <t>(Jan. - Oct.)</t>
  </si>
  <si>
    <t xml:space="preserve">TOTAL OPTG.  REVENUES </t>
  </si>
  <si>
    <t>Chairman of the Board</t>
  </si>
  <si>
    <t>Approved:</t>
  </si>
  <si>
    <t>GEOFFREY P. RAMIL</t>
  </si>
  <si>
    <t>HR Designate</t>
  </si>
  <si>
    <t>Approved for the Board of Directors:</t>
  </si>
  <si>
    <t>Chairman, BOD</t>
  </si>
  <si>
    <t>lot</t>
  </si>
  <si>
    <t>For the Budget Year 2016</t>
  </si>
  <si>
    <t xml:space="preserve">   2016 Budgeted %age on WB Coll.</t>
  </si>
  <si>
    <t xml:space="preserve">   2015 Budgeted New Service Conn.</t>
  </si>
  <si>
    <t xml:space="preserve">  2015 Total Gain on Sales of Materials</t>
  </si>
  <si>
    <t xml:space="preserve">   2016 Budgeted Interest Revenues</t>
  </si>
  <si>
    <t>For the Budget year 2016</t>
  </si>
  <si>
    <t>For the Budget 2016</t>
  </si>
  <si>
    <t>Budget 2016</t>
  </si>
  <si>
    <t>(2016-2015)</t>
  </si>
  <si>
    <t>For the Year 2016</t>
  </si>
  <si>
    <t>A D M I N I S T R A T I V E    S E C T I O N</t>
  </si>
  <si>
    <t>File Cabinet</t>
  </si>
  <si>
    <t>Printer (Cannon Ink Jet)</t>
  </si>
  <si>
    <t>Printer (HP Laserjet)</t>
  </si>
  <si>
    <t>Bincard</t>
  </si>
  <si>
    <t>Binder Clip</t>
  </si>
  <si>
    <t>Book Paper S20 (Long)</t>
  </si>
  <si>
    <t>Book Paper S20 (Short)</t>
  </si>
  <si>
    <t>Book Paper s24 (Long)</t>
  </si>
  <si>
    <t>Book Paper s24 (Short)</t>
  </si>
  <si>
    <t>Calculator</t>
  </si>
  <si>
    <t>Carbon Paper Black (Long)</t>
  </si>
  <si>
    <t>Drum Cartridge (Photocopier)</t>
  </si>
  <si>
    <t>Drum Kit (Photocopier)</t>
  </si>
  <si>
    <t>File Box</t>
  </si>
  <si>
    <t>File Folder (Short)</t>
  </si>
  <si>
    <t>File Tray</t>
  </si>
  <si>
    <t>Flash Drive 16GB</t>
  </si>
  <si>
    <t>Folder Clip Long</t>
  </si>
  <si>
    <t>Highlighter (Yellow)</t>
  </si>
  <si>
    <t>HP Toner 1102</t>
  </si>
  <si>
    <t>Ink for Cannon Printer</t>
  </si>
  <si>
    <t>Knife Cutter HD</t>
  </si>
  <si>
    <t>Pencil</t>
  </si>
  <si>
    <t>Pentel Pen</t>
  </si>
  <si>
    <t>Puncher</t>
  </si>
  <si>
    <t>Rope</t>
  </si>
  <si>
    <t>meter</t>
  </si>
  <si>
    <t>Scissor</t>
  </si>
  <si>
    <t>Sharpener</t>
  </si>
  <si>
    <t>Store Requisition Slip Form</t>
  </si>
  <si>
    <t>Stainless Foot Rule</t>
  </si>
  <si>
    <t>Stapler no. 35 w/ Hook</t>
  </si>
  <si>
    <t>Stock Card</t>
  </si>
  <si>
    <t>C O M M E R C I A L    S E C T I O N</t>
  </si>
  <si>
    <t>Printer (Cannon Ink-jet)</t>
  </si>
  <si>
    <t>Printer (HP Laser Jet)</t>
  </si>
  <si>
    <t>Customer Ledger Card</t>
  </si>
  <si>
    <t>Disconnection Form</t>
  </si>
  <si>
    <t>Final Notice Form</t>
  </si>
  <si>
    <t>Knife Cutter</t>
  </si>
  <si>
    <t>PCF</t>
  </si>
  <si>
    <t>Reconnection Form</t>
  </si>
  <si>
    <t>Scissors</t>
  </si>
  <si>
    <t>Stapler no. 35 w/ hook</t>
  </si>
  <si>
    <t>E N G I N E E R I N G     S E C T I O N</t>
  </si>
  <si>
    <t>Drawing Materials/Equipment</t>
  </si>
  <si>
    <t>Printer (HP Laser-jet)</t>
  </si>
  <si>
    <t>Columnar Book 14 Columns</t>
  </si>
  <si>
    <t>Folder Clip</t>
  </si>
  <si>
    <t>Paper Clip (Long)</t>
  </si>
  <si>
    <t>Motorcycle</t>
  </si>
  <si>
    <t>PROTECTIVE EQUIPMENT</t>
  </si>
  <si>
    <t>Gas Mask</t>
  </si>
  <si>
    <t>Protection Eye Glass</t>
  </si>
  <si>
    <t>Reflectorize Vest</t>
  </si>
  <si>
    <t>Rubber Gloves</t>
  </si>
  <si>
    <t>pair</t>
  </si>
  <si>
    <t>Adjustable Wrench 12"</t>
  </si>
  <si>
    <t>Adjustable Wrench 10"</t>
  </si>
  <si>
    <t>Chain Tong 22"</t>
  </si>
  <si>
    <t>Chain Tong 24"</t>
  </si>
  <si>
    <t>Flash Light Heavy Duty</t>
  </si>
  <si>
    <t>Flat Screw Driver</t>
  </si>
  <si>
    <t>Generator Set 15KVA 230V</t>
  </si>
  <si>
    <t>Industrial Plier</t>
  </si>
  <si>
    <t>Multi-Tester</t>
  </si>
  <si>
    <t>Open &amp; Box Combination Wrench</t>
  </si>
  <si>
    <t>Phillips Screw Driver</t>
  </si>
  <si>
    <t>Pipe Wrench 10"</t>
  </si>
  <si>
    <t>Pipe Wrench 12"</t>
  </si>
  <si>
    <t>NON-REVENUE WATER REDUCTION PROGRAM</t>
  </si>
  <si>
    <t>PVC Pipe 2"</t>
  </si>
  <si>
    <t>PVC Pipe 3"</t>
  </si>
  <si>
    <t>PVC Pipe 4"</t>
  </si>
  <si>
    <t>PVC Pipe 6"</t>
  </si>
  <si>
    <t>PVC Repair Socket 2"</t>
  </si>
  <si>
    <t>GI Nipple 1/2" X 3"</t>
  </si>
  <si>
    <t>GI Nipple 1/2" X 4"</t>
  </si>
  <si>
    <t>GI Nipple 1/2" X 5"</t>
  </si>
  <si>
    <t>GI Nipple 1/2" X 6"</t>
  </si>
  <si>
    <t>LC Tee Reducer 1" X 1/2"</t>
  </si>
  <si>
    <t>Neltex</t>
  </si>
  <si>
    <t xml:space="preserve">Chlorinator Pump </t>
  </si>
  <si>
    <t>GI Elbow 1 1/4"</t>
  </si>
  <si>
    <t>GI Nipple 3/4" X 2"</t>
  </si>
  <si>
    <t>GI Nipple 3/4" X 4"</t>
  </si>
  <si>
    <t>GI Pipe 1 1/4"</t>
  </si>
  <si>
    <t>GI Pipe 3/4"</t>
  </si>
  <si>
    <t>GI Tee 1 1/4"</t>
  </si>
  <si>
    <t>Pump Control 7.5 HP</t>
  </si>
  <si>
    <t>Submersible Pump &amp; Motor 3 HP 230V</t>
  </si>
  <si>
    <t>Submersible Pump &amp; Motor 5 HP 460V</t>
  </si>
  <si>
    <t>Submersible Pump &amp; Motor 7.5 HP 460V</t>
  </si>
  <si>
    <t>liter</t>
  </si>
  <si>
    <t>INFRASTRUCTURE</t>
  </si>
  <si>
    <t>Construction of Office Extension</t>
  </si>
  <si>
    <t>OFFICE EXTENSION EQUIPMENT</t>
  </si>
  <si>
    <t>Air Freshener</t>
  </si>
  <si>
    <t>Airpot</t>
  </si>
  <si>
    <t>Ceiling Fan (Orbit)</t>
  </si>
  <si>
    <t>Internet TV</t>
  </si>
  <si>
    <t>Office Chair</t>
  </si>
  <si>
    <t>Office Table</t>
  </si>
  <si>
    <t>Split Type Airconditioner 2HP</t>
  </si>
  <si>
    <t>Admin. Services Aide</t>
  </si>
  <si>
    <t>Admin Section</t>
  </si>
  <si>
    <t xml:space="preserve">     Office Equipment</t>
  </si>
  <si>
    <t xml:space="preserve">     Office Supplies</t>
  </si>
  <si>
    <t>Commercial Section</t>
  </si>
  <si>
    <t>Engineering/Production Section</t>
  </si>
  <si>
    <t>Protective Equipment</t>
  </si>
  <si>
    <t>TRANSPORTATION SERVICE VEHICLE</t>
  </si>
  <si>
    <t>Transportation Vehicle (Motorcycle)</t>
  </si>
  <si>
    <t>Tools, Shops, Garage Equipment</t>
  </si>
  <si>
    <t>Non-Revenue Water Reduction Program</t>
  </si>
  <si>
    <t>Fuels and Chemicals</t>
  </si>
  <si>
    <t>TOTAL……..</t>
  </si>
  <si>
    <t xml:space="preserve">2015 Budgeted </t>
  </si>
  <si>
    <t>2015 Budgeted Optg. Rev.</t>
  </si>
  <si>
    <t>2015 Budgeted Receipts</t>
  </si>
  <si>
    <t xml:space="preserve">For the Budget Year </t>
  </si>
  <si>
    <t>Accounting Clerk I</t>
  </si>
  <si>
    <t>Store Keeper I</t>
  </si>
  <si>
    <t>Collection Assistant</t>
  </si>
  <si>
    <t>Accounting Processor B</t>
  </si>
  <si>
    <t>Industrial Rel.Mgt. Aide</t>
  </si>
  <si>
    <t>Engineering Aide B</t>
  </si>
  <si>
    <t>Water Res. Fac. Tender B( Plumber)</t>
  </si>
  <si>
    <t xml:space="preserve">                                               DIR. FLORINDA P. ALEJANDRO</t>
  </si>
  <si>
    <t>Conveniently serve the consumers during payment and queries</t>
  </si>
  <si>
    <t>To serve efficiently all consumers of the district</t>
  </si>
  <si>
    <t>Fully contented consumers</t>
  </si>
  <si>
    <t>Construction of airconditioned customers lounge</t>
  </si>
  <si>
    <t>Consumers</t>
  </si>
  <si>
    <t>Consumer survey</t>
  </si>
  <si>
    <t>Construction of Extension Office Consumers Waiting Area</t>
  </si>
  <si>
    <t>DIR. FLORINDA P. ALEJANDRO</t>
  </si>
  <si>
    <t xml:space="preserve">                                              DIR. FLORINDA P. ALEJANDRO</t>
  </si>
  <si>
    <t>FLORINDA P. ALEJANDRO</t>
  </si>
  <si>
    <t xml:space="preserve">    Cultural and Athletic Expenses</t>
  </si>
  <si>
    <t xml:space="preserve">    Bank Charges Expenses</t>
  </si>
  <si>
    <t>Rain Coat</t>
  </si>
  <si>
    <t>Boots</t>
  </si>
  <si>
    <t>Helmet/Hard Hat</t>
  </si>
  <si>
    <t>Submersible Cable</t>
  </si>
  <si>
    <t>mtrs</t>
  </si>
  <si>
    <t>Center Bolt</t>
  </si>
  <si>
    <t>Rubber Tape</t>
  </si>
  <si>
    <t>Electrical Tape</t>
  </si>
  <si>
    <t xml:space="preserve">       Customer's Deposit </t>
  </si>
  <si>
    <t>Projected Consumption/Connection in Cu.m. (Residential)</t>
  </si>
  <si>
    <t>Projected Consumption/Connection in Cu.m. (Semi-Commercial A)</t>
  </si>
  <si>
    <t>Projected Consumption/Connection in Cu.m. (Pure Commercial)</t>
  </si>
  <si>
    <t>Projected Consumption/Connection in Cu.m. (Semi-Commercial B)</t>
  </si>
  <si>
    <t>Projected Consumption/Connection in Cu.m. (Semi-Commercial C)</t>
  </si>
  <si>
    <t>Projected Consumption/Connection in Cu.m. (Semi-Commercial D)</t>
  </si>
  <si>
    <t>Projected Consumption/Connection in Cu.m. (Semi-Commercial E)</t>
  </si>
  <si>
    <t>Projected Consumption/Connection in Cu.m. (Semi-Commercial F)</t>
  </si>
  <si>
    <t>Annual Procurement Plan</t>
  </si>
  <si>
    <t xml:space="preserve">Life &amp; Retirement Insurance Contr (GSIS) </t>
  </si>
  <si>
    <t>PAG-IBIG Contributions</t>
  </si>
  <si>
    <t>PhilHealth Contributions</t>
  </si>
  <si>
    <t xml:space="preserve">     Professional Services</t>
  </si>
  <si>
    <t xml:space="preserve">     Salaries and Wages-Others</t>
  </si>
  <si>
    <t xml:space="preserve">     Travel Expenses</t>
  </si>
  <si>
    <t xml:space="preserve">     Representation Expenses</t>
  </si>
  <si>
    <t xml:space="preserve">     Communication Expenses</t>
  </si>
  <si>
    <t xml:space="preserve">     Office Supplies Expenses</t>
  </si>
  <si>
    <t xml:space="preserve">     Other Maintenance &amp; Operating Expenses</t>
  </si>
  <si>
    <t xml:space="preserve">     Electricity</t>
  </si>
  <si>
    <t xml:space="preserve">     Honoraria (Directors Fees and Ren.)</t>
  </si>
  <si>
    <t xml:space="preserve">     Fuel,oil &amp; lubricant Expenses</t>
  </si>
  <si>
    <t xml:space="preserve">     Repair/Maint-Land Transport Equipment</t>
  </si>
  <si>
    <t xml:space="preserve">   Repair/Maintenance</t>
  </si>
  <si>
    <t xml:space="preserve">     Repair/Maintenance of Services</t>
  </si>
  <si>
    <t xml:space="preserve">     Repair/Maintenance of Meters</t>
  </si>
  <si>
    <t xml:space="preserve">     Repair/Maintenance of Hydrants</t>
  </si>
  <si>
    <t>Admin/GSO B</t>
  </si>
  <si>
    <t xml:space="preserve">  General Manager D</t>
  </si>
  <si>
    <t>2015 Budgeted Consumption</t>
  </si>
  <si>
    <t>2015 Actual Consumption</t>
  </si>
  <si>
    <t>Breakdown: ( For Billing 2016)</t>
  </si>
  <si>
    <t xml:space="preserve"> 2015 Budgeted SC for Billing</t>
  </si>
  <si>
    <t xml:space="preserve"> 2015  Actual SC for Billing</t>
  </si>
  <si>
    <t>Provide Medical and Dental Assistance  and Health Kits</t>
  </si>
  <si>
    <t>Lab and Dental check-up and handy health kits</t>
  </si>
  <si>
    <t>Leak Detection Machine</t>
  </si>
  <si>
    <t>Engineer A</t>
  </si>
  <si>
    <t>SG4</t>
  </si>
  <si>
    <t>Lina</t>
  </si>
  <si>
    <t>2017 GAD PLAN AND BUDGET</t>
  </si>
  <si>
    <t>Shiela Dagdag</t>
  </si>
  <si>
    <t>Conduct of Tranings/Seminar</t>
  </si>
  <si>
    <t>To equip participants' awareness on gender issues</t>
  </si>
  <si>
    <t>Follow-up trainings on Gender-related Issues and concepts, mandates and policies of all employees of the district</t>
  </si>
  <si>
    <t>Personnel oriented on the in-depth provisions of GAD related mandates</t>
  </si>
  <si>
    <t>23 employees and 5 BOD</t>
  </si>
  <si>
    <t>March - June 2017</t>
  </si>
  <si>
    <t>Majority of the employees shall attend and will be much aware and conversant on the GAD mandate</t>
  </si>
  <si>
    <t>Conduct of Trainings on Livelihood Skills</t>
  </si>
  <si>
    <t>To equip partipants with appropriate knowledge/ technology in livelihood skills for the enhancement of the program</t>
  </si>
  <si>
    <t>Employees and their immediate families and other women's group have no other means of income-generating activities at their home</t>
  </si>
  <si>
    <t>Employees and their spouses and selected women participated the livelihood training</t>
  </si>
  <si>
    <t>Employees and their spouses and 10 invited women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</si>
</sst>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#,##0.0000"/>
    <numFmt numFmtId="167" formatCode="#,##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man Old Style"/>
      <family val="1"/>
    </font>
    <font>
      <b/>
      <sz val="12"/>
      <name val="Bookman Old Style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Bookman Old Style"/>
      <family val="1"/>
    </font>
    <font>
      <b/>
      <sz val="16"/>
      <name val="Arial"/>
      <family val="2"/>
    </font>
    <font>
      <b/>
      <sz val="14"/>
      <name val="Bookman Old Style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u/>
      <sz val="9"/>
      <name val="Arial"/>
      <family val="2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0" fillId="0" borderId="0" xfId="1" applyFont="1"/>
    <xf numFmtId="2" fontId="0" fillId="0" borderId="0" xfId="0" applyNumberFormat="1"/>
    <xf numFmtId="3" fontId="0" fillId="0" borderId="0" xfId="0" applyNumberFormat="1"/>
    <xf numFmtId="4" fontId="0" fillId="0" borderId="0" xfId="0" applyNumberFormat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4" fontId="9" fillId="0" borderId="0" xfId="0" applyNumberFormat="1" applyFont="1"/>
    <xf numFmtId="9" fontId="9" fillId="0" borderId="0" xfId="0" applyNumberFormat="1" applyFont="1"/>
    <xf numFmtId="9" fontId="0" fillId="0" borderId="0" xfId="0" applyNumberFormat="1"/>
    <xf numFmtId="0" fontId="2" fillId="0" borderId="0" xfId="0" applyFont="1" applyAlignment="1"/>
    <xf numFmtId="10" fontId="0" fillId="0" borderId="0" xfId="0" applyNumberFormat="1"/>
    <xf numFmtId="0" fontId="10" fillId="0" borderId="1" xfId="0" applyFont="1" applyBorder="1"/>
    <xf numFmtId="0" fontId="4" fillId="0" borderId="2" xfId="0" applyFont="1" applyBorder="1"/>
    <xf numFmtId="0" fontId="10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2" xfId="0" applyFont="1" applyBorder="1"/>
    <xf numFmtId="0" fontId="10" fillId="0" borderId="4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5" fillId="0" borderId="5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3" xfId="0" applyFont="1" applyBorder="1"/>
    <xf numFmtId="0" fontId="5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8" xfId="0" applyFont="1" applyBorder="1"/>
    <xf numFmtId="0" fontId="5" fillId="0" borderId="10" xfId="0" applyFont="1" applyBorder="1"/>
    <xf numFmtId="0" fontId="5" fillId="0" borderId="2" xfId="0" applyFont="1" applyBorder="1"/>
    <xf numFmtId="0" fontId="10" fillId="0" borderId="2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/>
    <xf numFmtId="0" fontId="5" fillId="0" borderId="11" xfId="0" applyFont="1" applyFill="1" applyBorder="1"/>
    <xf numFmtId="0" fontId="5" fillId="0" borderId="7" xfId="0" applyFont="1" applyBorder="1"/>
    <xf numFmtId="0" fontId="9" fillId="0" borderId="8" xfId="0" applyFont="1" applyBorder="1"/>
    <xf numFmtId="0" fontId="10" fillId="0" borderId="0" xfId="0" applyFont="1" applyBorder="1"/>
    <xf numFmtId="0" fontId="4" fillId="0" borderId="0" xfId="0" applyFont="1" applyBorder="1"/>
    <xf numFmtId="0" fontId="11" fillId="0" borderId="0" xfId="0" applyFont="1"/>
    <xf numFmtId="0" fontId="11" fillId="0" borderId="0" xfId="0" applyFont="1" applyBorder="1"/>
    <xf numFmtId="0" fontId="4" fillId="0" borderId="11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14" xfId="0" applyFont="1" applyBorder="1"/>
    <xf numFmtId="0" fontId="4" fillId="0" borderId="5" xfId="0" applyFont="1" applyBorder="1"/>
    <xf numFmtId="0" fontId="12" fillId="0" borderId="8" xfId="0" applyFont="1" applyBorder="1"/>
    <xf numFmtId="0" fontId="12" fillId="0" borderId="0" xfId="0" applyFont="1" applyBorder="1"/>
    <xf numFmtId="0" fontId="9" fillId="0" borderId="0" xfId="0" applyFont="1" applyBorder="1"/>
    <xf numFmtId="0" fontId="4" fillId="0" borderId="3" xfId="0" applyFont="1" applyBorder="1"/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2" fontId="10" fillId="0" borderId="0" xfId="0" applyNumberFormat="1" applyFont="1" applyBorder="1" applyAlignment="1">
      <alignment horizontal="center"/>
    </xf>
    <xf numFmtId="2" fontId="8" fillId="0" borderId="3" xfId="0" applyNumberFormat="1" applyFont="1" applyBorder="1" applyAlignment="1"/>
    <xf numFmtId="2" fontId="10" fillId="0" borderId="0" xfId="0" applyNumberFormat="1" applyFont="1" applyBorder="1"/>
    <xf numFmtId="2" fontId="8" fillId="0" borderId="8" xfId="0" applyNumberFormat="1" applyFont="1" applyBorder="1" applyAlignment="1"/>
    <xf numFmtId="0" fontId="4" fillId="0" borderId="0" xfId="0" applyFont="1"/>
    <xf numFmtId="0" fontId="8" fillId="0" borderId="1" xfId="0" applyFont="1" applyBorder="1"/>
    <xf numFmtId="0" fontId="0" fillId="0" borderId="1" xfId="0" applyBorder="1"/>
    <xf numFmtId="0" fontId="0" fillId="0" borderId="13" xfId="0" applyBorder="1"/>
    <xf numFmtId="0" fontId="8" fillId="0" borderId="5" xfId="0" applyFont="1" applyFill="1" applyBorder="1"/>
    <xf numFmtId="0" fontId="0" fillId="0" borderId="3" xfId="0" applyBorder="1"/>
    <xf numFmtId="0" fontId="0" fillId="0" borderId="7" xfId="0" applyBorder="1"/>
    <xf numFmtId="0" fontId="5" fillId="0" borderId="1" xfId="0" applyFont="1" applyBorder="1"/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0" fillId="0" borderId="3" xfId="0" applyNumberFormat="1" applyBorder="1"/>
    <xf numFmtId="0" fontId="5" fillId="0" borderId="11" xfId="0" applyFont="1" applyBorder="1"/>
    <xf numFmtId="0" fontId="5" fillId="0" borderId="14" xfId="0" applyFont="1" applyBorder="1"/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4" xfId="0" applyBorder="1"/>
    <xf numFmtId="43" fontId="0" fillId="0" borderId="3" xfId="1" applyFont="1" applyBorder="1"/>
    <xf numFmtId="43" fontId="0" fillId="0" borderId="2" xfId="1" applyFont="1" applyBorder="1"/>
    <xf numFmtId="4" fontId="0" fillId="0" borderId="15" xfId="0" applyNumberFormat="1" applyBorder="1"/>
    <xf numFmtId="0" fontId="5" fillId="0" borderId="0" xfId="0" applyFont="1" applyBorder="1"/>
    <xf numFmtId="0" fontId="0" fillId="0" borderId="5" xfId="0" applyBorder="1"/>
    <xf numFmtId="0" fontId="14" fillId="0" borderId="0" xfId="0" applyFont="1" applyAlignment="1"/>
    <xf numFmtId="0" fontId="5" fillId="0" borderId="0" xfId="0" applyFont="1" applyAlignment="1"/>
    <xf numFmtId="0" fontId="0" fillId="0" borderId="11" xfId="0" applyBorder="1"/>
    <xf numFmtId="0" fontId="0" fillId="0" borderId="1" xfId="0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/>
    <xf numFmtId="0" fontId="6" fillId="0" borderId="13" xfId="0" applyFont="1" applyBorder="1"/>
    <xf numFmtId="0" fontId="0" fillId="0" borderId="18" xfId="0" applyBorder="1"/>
    <xf numFmtId="0" fontId="6" fillId="0" borderId="19" xfId="0" applyFont="1" applyBorder="1"/>
    <xf numFmtId="3" fontId="0" fillId="0" borderId="2" xfId="0" applyNumberFormat="1" applyBorder="1"/>
    <xf numFmtId="0" fontId="6" fillId="0" borderId="0" xfId="0" applyNumberFormat="1" applyFont="1" applyBorder="1"/>
    <xf numFmtId="0" fontId="0" fillId="0" borderId="2" xfId="0" applyBorder="1"/>
    <xf numFmtId="0" fontId="6" fillId="0" borderId="12" xfId="0" applyFont="1" applyBorder="1"/>
    <xf numFmtId="0" fontId="0" fillId="0" borderId="9" xfId="0" applyBorder="1"/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ill="1" applyBorder="1"/>
    <xf numFmtId="0" fontId="5" fillId="0" borderId="0" xfId="0" applyFont="1" applyAlignment="1">
      <alignment horizontal="center"/>
    </xf>
    <xf numFmtId="0" fontId="17" fillId="0" borderId="0" xfId="0" applyFont="1"/>
    <xf numFmtId="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17" fillId="0" borderId="0" xfId="0" applyNumberFormat="1" applyFont="1"/>
    <xf numFmtId="43" fontId="17" fillId="0" borderId="0" xfId="1" applyFont="1"/>
    <xf numFmtId="2" fontId="17" fillId="0" borderId="0" xfId="0" applyNumberFormat="1" applyFont="1"/>
    <xf numFmtId="4" fontId="17" fillId="0" borderId="0" xfId="0" applyNumberFormat="1" applyFont="1"/>
    <xf numFmtId="0" fontId="5" fillId="0" borderId="2" xfId="0" applyFont="1" applyFill="1" applyBorder="1"/>
    <xf numFmtId="0" fontId="18" fillId="0" borderId="5" xfId="0" applyFont="1" applyBorder="1"/>
    <xf numFmtId="2" fontId="19" fillId="0" borderId="3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9" fillId="0" borderId="5" xfId="0" applyNumberFormat="1" applyFont="1" applyBorder="1"/>
    <xf numFmtId="0" fontId="19" fillId="0" borderId="5" xfId="0" applyFont="1" applyBorder="1"/>
    <xf numFmtId="0" fontId="19" fillId="0" borderId="7" xfId="0" applyFont="1" applyBorder="1"/>
    <xf numFmtId="2" fontId="19" fillId="0" borderId="8" xfId="0" applyNumberFormat="1" applyFont="1" applyBorder="1" applyAlignment="1">
      <alignment horizontal="center"/>
    </xf>
    <xf numFmtId="0" fontId="18" fillId="0" borderId="2" xfId="0" applyFont="1" applyBorder="1"/>
    <xf numFmtId="0" fontId="18" fillId="0" borderId="15" xfId="0" applyFont="1" applyBorder="1"/>
    <xf numFmtId="0" fontId="18" fillId="0" borderId="3" xfId="0" applyFont="1" applyBorder="1"/>
    <xf numFmtId="10" fontId="21" fillId="0" borderId="2" xfId="0" applyNumberFormat="1" applyFont="1" applyBorder="1" applyAlignment="1">
      <alignment horizontal="center"/>
    </xf>
    <xf numFmtId="0" fontId="18" fillId="0" borderId="8" xfId="0" applyFont="1" applyBorder="1"/>
    <xf numFmtId="0" fontId="8" fillId="0" borderId="4" xfId="0" applyFont="1" applyBorder="1"/>
    <xf numFmtId="165" fontId="22" fillId="0" borderId="3" xfId="1" applyNumberFormat="1" applyFont="1" applyBorder="1"/>
    <xf numFmtId="165" fontId="22" fillId="0" borderId="0" xfId="1" applyNumberFormat="1" applyFont="1" applyBorder="1"/>
    <xf numFmtId="165" fontId="22" fillId="0" borderId="8" xfId="1" applyNumberFormat="1" applyFont="1" applyBorder="1"/>
    <xf numFmtId="4" fontId="20" fillId="0" borderId="3" xfId="0" applyNumberFormat="1" applyFont="1" applyBorder="1"/>
    <xf numFmtId="0" fontId="20" fillId="0" borderId="3" xfId="0" applyFont="1" applyBorder="1"/>
    <xf numFmtId="0" fontId="22" fillId="0" borderId="0" xfId="0" applyFont="1"/>
    <xf numFmtId="4" fontId="20" fillId="0" borderId="1" xfId="0" applyNumberFormat="1" applyFont="1" applyFill="1" applyBorder="1"/>
    <xf numFmtId="4" fontId="20" fillId="0" borderId="13" xfId="0" applyNumberFormat="1" applyFont="1" applyFill="1" applyBorder="1"/>
    <xf numFmtId="4" fontId="22" fillId="0" borderId="1" xfId="0" applyNumberFormat="1" applyFont="1" applyBorder="1"/>
    <xf numFmtId="4" fontId="20" fillId="0" borderId="8" xfId="0" applyNumberFormat="1" applyFont="1" applyFill="1" applyBorder="1"/>
    <xf numFmtId="4" fontId="20" fillId="0" borderId="9" xfId="0" applyNumberFormat="1" applyFont="1" applyFill="1" applyBorder="1"/>
    <xf numFmtId="4" fontId="22" fillId="0" borderId="8" xfId="0" applyNumberFormat="1" applyFont="1" applyBorder="1"/>
    <xf numFmtId="4" fontId="20" fillId="0" borderId="2" xfId="0" applyNumberFormat="1" applyFont="1" applyBorder="1"/>
    <xf numFmtId="4" fontId="20" fillId="0" borderId="8" xfId="0" applyNumberFormat="1" applyFont="1" applyBorder="1"/>
    <xf numFmtId="4" fontId="20" fillId="0" borderId="20" xfId="0" applyNumberFormat="1" applyFont="1" applyBorder="1"/>
    <xf numFmtId="165" fontId="22" fillId="0" borderId="2" xfId="1" applyNumberFormat="1" applyFont="1" applyBorder="1"/>
    <xf numFmtId="165" fontId="22" fillId="0" borderId="0" xfId="1" applyNumberFormat="1" applyFont="1"/>
    <xf numFmtId="165" fontId="22" fillId="0" borderId="13" xfId="1" applyNumberFormat="1" applyFont="1" applyBorder="1"/>
    <xf numFmtId="165" fontId="22" fillId="0" borderId="6" xfId="1" applyNumberFormat="1" applyFont="1" applyBorder="1"/>
    <xf numFmtId="165" fontId="22" fillId="0" borderId="16" xfId="1" applyNumberFormat="1" applyFont="1" applyBorder="1"/>
    <xf numFmtId="165" fontId="22" fillId="0" borderId="17" xfId="1" applyNumberFormat="1" applyFont="1" applyBorder="1"/>
    <xf numFmtId="165" fontId="22" fillId="0" borderId="1" xfId="1" applyNumberFormat="1" applyFont="1" applyBorder="1"/>
    <xf numFmtId="165" fontId="22" fillId="0" borderId="19" xfId="1" applyNumberFormat="1" applyFont="1" applyBorder="1"/>
    <xf numFmtId="0" fontId="0" fillId="0" borderId="19" xfId="0" applyBorder="1"/>
    <xf numFmtId="43" fontId="0" fillId="0" borderId="21" xfId="1" applyFont="1" applyBorder="1"/>
    <xf numFmtId="0" fontId="23" fillId="0" borderId="0" xfId="0" applyFont="1"/>
    <xf numFmtId="0" fontId="15" fillId="0" borderId="0" xfId="0" applyFont="1" applyAlignment="1"/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2" xfId="0" applyFont="1" applyBorder="1"/>
    <xf numFmtId="2" fontId="9" fillId="0" borderId="2" xfId="0" applyNumberFormat="1" applyFont="1" applyBorder="1"/>
    <xf numFmtId="165" fontId="0" fillId="0" borderId="0" xfId="0" applyNumberFormat="1"/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3" xfId="0" applyFont="1" applyBorder="1"/>
    <xf numFmtId="0" fontId="7" fillId="0" borderId="19" xfId="0" applyFont="1" applyBorder="1"/>
    <xf numFmtId="4" fontId="17" fillId="0" borderId="2" xfId="0" applyNumberFormat="1" applyFont="1" applyBorder="1"/>
    <xf numFmtId="3" fontId="17" fillId="0" borderId="2" xfId="0" applyNumberFormat="1" applyFont="1" applyBorder="1"/>
    <xf numFmtId="37" fontId="17" fillId="0" borderId="2" xfId="0" applyNumberFormat="1" applyFont="1" applyBorder="1"/>
    <xf numFmtId="3" fontId="17" fillId="0" borderId="19" xfId="0" applyNumberFormat="1" applyFont="1" applyBorder="1"/>
    <xf numFmtId="4" fontId="17" fillId="0" borderId="3" xfId="0" applyNumberFormat="1" applyFont="1" applyBorder="1"/>
    <xf numFmtId="3" fontId="17" fillId="0" borderId="3" xfId="0" applyNumberFormat="1" applyFont="1" applyBorder="1"/>
    <xf numFmtId="0" fontId="17" fillId="0" borderId="3" xfId="0" applyFont="1" applyBorder="1"/>
    <xf numFmtId="0" fontId="17" fillId="0" borderId="2" xfId="0" applyFont="1" applyBorder="1"/>
    <xf numFmtId="4" fontId="24" fillId="0" borderId="2" xfId="0" applyNumberFormat="1" applyFont="1" applyBorder="1"/>
    <xf numFmtId="3" fontId="24" fillId="0" borderId="22" xfId="0" applyNumberFormat="1" applyFont="1" applyBorder="1"/>
    <xf numFmtId="37" fontId="24" fillId="0" borderId="22" xfId="0" applyNumberFormat="1" applyFont="1" applyBorder="1"/>
    <xf numFmtId="3" fontId="24" fillId="0" borderId="20" xfId="0" applyNumberFormat="1" applyFont="1" applyBorder="1"/>
    <xf numFmtId="3" fontId="24" fillId="0" borderId="8" xfId="0" applyNumberFormat="1" applyFont="1" applyBorder="1"/>
    <xf numFmtId="43" fontId="8" fillId="0" borderId="9" xfId="1" applyFont="1" applyBorder="1"/>
    <xf numFmtId="4" fontId="8" fillId="0" borderId="9" xfId="0" applyNumberFormat="1" applyFont="1" applyBorder="1"/>
    <xf numFmtId="43" fontId="8" fillId="0" borderId="0" xfId="1" applyFont="1"/>
    <xf numFmtId="3" fontId="8" fillId="0" borderId="0" xfId="0" applyNumberFormat="1" applyFont="1" applyBorder="1"/>
    <xf numFmtId="4" fontId="8" fillId="0" borderId="0" xfId="0" applyNumberFormat="1" applyFont="1" applyBorder="1"/>
    <xf numFmtId="39" fontId="8" fillId="0" borderId="0" xfId="0" applyNumberFormat="1" applyFont="1" applyBorder="1"/>
    <xf numFmtId="43" fontId="8" fillId="0" borderId="0" xfId="1" applyFont="1" applyBorder="1"/>
    <xf numFmtId="43" fontId="8" fillId="0" borderId="0" xfId="1" applyFont="1" applyAlignment="1">
      <alignment vertical="center"/>
    </xf>
    <xf numFmtId="43" fontId="8" fillId="0" borderId="0" xfId="1" applyFont="1" applyAlignment="1">
      <alignment horizontal="right"/>
    </xf>
    <xf numFmtId="166" fontId="0" fillId="0" borderId="0" xfId="0" applyNumberFormat="1"/>
    <xf numFmtId="0" fontId="4" fillId="0" borderId="0" xfId="0" applyFont="1" applyAlignment="1">
      <alignment horizontal="center"/>
    </xf>
    <xf numFmtId="43" fontId="17" fillId="0" borderId="9" xfId="1" applyFont="1" applyBorder="1"/>
    <xf numFmtId="43" fontId="17" fillId="0" borderId="21" xfId="1" applyFont="1" applyBorder="1"/>
    <xf numFmtId="43" fontId="17" fillId="0" borderId="16" xfId="1" applyFont="1" applyBorder="1"/>
    <xf numFmtId="43" fontId="17" fillId="0" borderId="2" xfId="1" applyFont="1" applyBorder="1"/>
    <xf numFmtId="43" fontId="24" fillId="0" borderId="2" xfId="1" applyFont="1" applyBorder="1"/>
    <xf numFmtId="43" fontId="0" fillId="0" borderId="0" xfId="1" applyFont="1" applyBorder="1"/>
    <xf numFmtId="43" fontId="17" fillId="0" borderId="19" xfId="1" applyFont="1" applyBorder="1"/>
    <xf numFmtId="43" fontId="17" fillId="0" borderId="3" xfId="1" applyFont="1" applyBorder="1"/>
    <xf numFmtId="43" fontId="17" fillId="0" borderId="0" xfId="1" applyFont="1" applyBorder="1"/>
    <xf numFmtId="43" fontId="0" fillId="0" borderId="8" xfId="1" applyFont="1" applyBorder="1"/>
    <xf numFmtId="43" fontId="17" fillId="0" borderId="1" xfId="1" applyFont="1" applyBorder="1"/>
    <xf numFmtId="43" fontId="17" fillId="0" borderId="12" xfId="1" applyFont="1" applyBorder="1"/>
    <xf numFmtId="43" fontId="17" fillId="0" borderId="8" xfId="1" applyFont="1" applyBorder="1"/>
    <xf numFmtId="0" fontId="8" fillId="0" borderId="2" xfId="0" applyFont="1" applyFill="1" applyBorder="1"/>
    <xf numFmtId="0" fontId="13" fillId="0" borderId="2" xfId="0" applyFont="1" applyBorder="1"/>
    <xf numFmtId="0" fontId="13" fillId="0" borderId="2" xfId="0" applyFont="1" applyFill="1" applyBorder="1"/>
    <xf numFmtId="165" fontId="22" fillId="0" borderId="2" xfId="1" applyNumberFormat="1" applyFont="1" applyFill="1" applyBorder="1"/>
    <xf numFmtId="4" fontId="4" fillId="0" borderId="0" xfId="0" applyNumberFormat="1" applyFont="1"/>
    <xf numFmtId="3" fontId="4" fillId="0" borderId="0" xfId="0" applyNumberFormat="1" applyFont="1"/>
    <xf numFmtId="3" fontId="25" fillId="0" borderId="0" xfId="0" applyNumberFormat="1" applyFont="1"/>
    <xf numFmtId="4" fontId="25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center"/>
    </xf>
    <xf numFmtId="2" fontId="4" fillId="0" borderId="0" xfId="0" applyNumberFormat="1" applyFont="1"/>
    <xf numFmtId="2" fontId="25" fillId="0" borderId="0" xfId="0" applyNumberFormat="1" applyFont="1"/>
    <xf numFmtId="9" fontId="4" fillId="0" borderId="0" xfId="0" applyNumberFormat="1" applyFont="1"/>
    <xf numFmtId="9" fontId="25" fillId="0" borderId="0" xfId="0" applyNumberFormat="1" applyFont="1"/>
    <xf numFmtId="10" fontId="4" fillId="0" borderId="0" xfId="0" applyNumberFormat="1" applyFont="1"/>
    <xf numFmtId="10" fontId="25" fillId="0" borderId="0" xfId="0" applyNumberFormat="1" applyFont="1"/>
    <xf numFmtId="43" fontId="0" fillId="0" borderId="0" xfId="0" applyNumberFormat="1"/>
    <xf numFmtId="43" fontId="17" fillId="0" borderId="5" xfId="1" applyFont="1" applyFill="1" applyBorder="1"/>
    <xf numFmtId="43" fontId="17" fillId="0" borderId="0" xfId="1" applyFont="1" applyFill="1" applyBorder="1"/>
    <xf numFmtId="0" fontId="0" fillId="0" borderId="0" xfId="0" applyFont="1"/>
    <xf numFmtId="3" fontId="19" fillId="0" borderId="2" xfId="0" applyNumberFormat="1" applyFont="1" applyBorder="1"/>
    <xf numFmtId="0" fontId="19" fillId="0" borderId="2" xfId="0" applyFont="1" applyBorder="1"/>
    <xf numFmtId="43" fontId="20" fillId="0" borderId="2" xfId="1" applyFont="1" applyBorder="1"/>
    <xf numFmtId="4" fontId="20" fillId="0" borderId="15" xfId="0" applyNumberFormat="1" applyFont="1" applyBorder="1"/>
    <xf numFmtId="43" fontId="20" fillId="0" borderId="15" xfId="1" applyFont="1" applyBorder="1"/>
    <xf numFmtId="0" fontId="17" fillId="0" borderId="1" xfId="0" applyFont="1" applyBorder="1"/>
    <xf numFmtId="0" fontId="24" fillId="0" borderId="3" xfId="0" applyFont="1" applyBorder="1" applyAlignment="1">
      <alignment horizontal="center"/>
    </xf>
    <xf numFmtId="0" fontId="17" fillId="0" borderId="8" xfId="0" applyFont="1" applyBorder="1"/>
    <xf numFmtId="0" fontId="17" fillId="0" borderId="3" xfId="0" applyFont="1" applyBorder="1" applyAlignment="1">
      <alignment horizontal="left"/>
    </xf>
    <xf numFmtId="0" fontId="17" fillId="0" borderId="3" xfId="0" applyFont="1" applyBorder="1" applyAlignment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43" fontId="17" fillId="2" borderId="0" xfId="1" applyFont="1" applyFill="1"/>
    <xf numFmtId="9" fontId="17" fillId="0" borderId="2" xfId="0" applyNumberFormat="1" applyFont="1" applyBorder="1" applyAlignment="1">
      <alignment horizontal="center"/>
    </xf>
    <xf numFmtId="0" fontId="17" fillId="2" borderId="2" xfId="0" applyFont="1" applyFill="1" applyBorder="1"/>
    <xf numFmtId="0" fontId="17" fillId="2" borderId="2" xfId="0" applyFont="1" applyFill="1" applyBorder="1" applyAlignment="1">
      <alignment horizontal="center"/>
    </xf>
    <xf numFmtId="165" fontId="17" fillId="0" borderId="2" xfId="1" applyNumberFormat="1" applyFont="1" applyBorder="1"/>
    <xf numFmtId="0" fontId="5" fillId="2" borderId="2" xfId="0" applyFont="1" applyFill="1" applyBorder="1"/>
    <xf numFmtId="0" fontId="17" fillId="0" borderId="2" xfId="0" applyFont="1" applyBorder="1" applyAlignment="1">
      <alignment horizontal="center"/>
    </xf>
    <xf numFmtId="2" fontId="17" fillId="0" borderId="2" xfId="0" applyNumberFormat="1" applyFont="1" applyBorder="1"/>
    <xf numFmtId="3" fontId="8" fillId="0" borderId="2" xfId="0" applyNumberFormat="1" applyFont="1" applyBorder="1"/>
    <xf numFmtId="0" fontId="17" fillId="0" borderId="2" xfId="0" applyFont="1" applyBorder="1" applyAlignment="1">
      <alignment horizontal="right"/>
    </xf>
    <xf numFmtId="1" fontId="17" fillId="0" borderId="2" xfId="0" applyNumberFormat="1" applyFont="1" applyBorder="1"/>
    <xf numFmtId="10" fontId="18" fillId="0" borderId="2" xfId="0" applyNumberFormat="1" applyFont="1" applyBorder="1" applyAlignment="1">
      <alignment horizontal="center"/>
    </xf>
    <xf numFmtId="10" fontId="18" fillId="0" borderId="2" xfId="0" applyNumberFormat="1" applyFont="1" applyBorder="1"/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right"/>
    </xf>
    <xf numFmtId="0" fontId="7" fillId="0" borderId="5" xfId="0" applyFont="1" applyBorder="1"/>
    <xf numFmtId="0" fontId="6" fillId="0" borderId="6" xfId="0" applyFont="1" applyBorder="1"/>
    <xf numFmtId="0" fontId="30" fillId="0" borderId="7" xfId="0" applyFont="1" applyBorder="1"/>
    <xf numFmtId="0" fontId="30" fillId="0" borderId="18" xfId="0" applyFont="1" applyBorder="1"/>
    <xf numFmtId="0" fontId="6" fillId="0" borderId="18" xfId="0" applyFont="1" applyBorder="1"/>
    <xf numFmtId="43" fontId="24" fillId="0" borderId="1" xfId="1" applyFont="1" applyBorder="1"/>
    <xf numFmtId="43" fontId="0" fillId="0" borderId="11" xfId="1" applyFont="1" applyBorder="1"/>
    <xf numFmtId="43" fontId="0" fillId="0" borderId="13" xfId="1" applyFont="1" applyBorder="1"/>
    <xf numFmtId="43" fontId="0" fillId="0" borderId="14" xfId="1" applyFont="1" applyBorder="1"/>
    <xf numFmtId="43" fontId="0" fillId="0" borderId="7" xfId="1" applyFont="1" applyBorder="1"/>
    <xf numFmtId="43" fontId="0" fillId="0" borderId="9" xfId="1" applyFont="1" applyBorder="1"/>
    <xf numFmtId="43" fontId="0" fillId="0" borderId="10" xfId="1" applyFont="1" applyBorder="1"/>
    <xf numFmtId="0" fontId="24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 wrapText="1"/>
    </xf>
    <xf numFmtId="4" fontId="0" fillId="0" borderId="2" xfId="0" applyNumberFormat="1" applyBorder="1" applyAlignment="1">
      <alignment vertical="top" wrapText="1"/>
    </xf>
    <xf numFmtId="0" fontId="0" fillId="0" borderId="0" xfId="0" applyAlignment="1">
      <alignment wrapText="1"/>
    </xf>
    <xf numFmtId="4" fontId="0" fillId="0" borderId="2" xfId="0" applyNumberFormat="1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 wrapText="1"/>
    </xf>
    <xf numFmtId="43" fontId="5" fillId="0" borderId="16" xfId="1" applyFont="1" applyBorder="1"/>
    <xf numFmtId="43" fontId="5" fillId="0" borderId="0" xfId="1" applyFont="1" applyBorder="1"/>
    <xf numFmtId="43" fontId="5" fillId="0" borderId="19" xfId="1" applyFont="1" applyBorder="1"/>
    <xf numFmtId="43" fontId="5" fillId="0" borderId="9" xfId="1" applyFont="1" applyBorder="1"/>
    <xf numFmtId="3" fontId="5" fillId="0" borderId="9" xfId="0" applyNumberFormat="1" applyFont="1" applyBorder="1"/>
    <xf numFmtId="4" fontId="5" fillId="0" borderId="9" xfId="0" applyNumberFormat="1" applyFont="1" applyBorder="1"/>
    <xf numFmtId="0" fontId="6" fillId="0" borderId="2" xfId="0" applyFont="1" applyBorder="1"/>
    <xf numFmtId="0" fontId="25" fillId="2" borderId="0" xfId="0" applyFont="1" applyFill="1"/>
    <xf numFmtId="0" fontId="27" fillId="2" borderId="0" xfId="0" applyFont="1" applyFill="1"/>
    <xf numFmtId="0" fontId="27" fillId="2" borderId="2" xfId="0" applyFont="1" applyFill="1" applyBorder="1" applyAlignment="1">
      <alignment horizontal="center"/>
    </xf>
    <xf numFmtId="0" fontId="27" fillId="2" borderId="2" xfId="0" applyFont="1" applyFill="1" applyBorder="1"/>
    <xf numFmtId="43" fontId="27" fillId="2" borderId="2" xfId="0" applyNumberFormat="1" applyFont="1" applyFill="1" applyBorder="1"/>
    <xf numFmtId="43" fontId="25" fillId="2" borderId="0" xfId="0" applyNumberFormat="1" applyFont="1" applyFill="1"/>
    <xf numFmtId="43" fontId="27" fillId="2" borderId="0" xfId="0" applyNumberFormat="1" applyFont="1" applyFill="1"/>
    <xf numFmtId="0" fontId="27" fillId="2" borderId="2" xfId="0" applyFont="1" applyFill="1" applyBorder="1" applyAlignment="1">
      <alignment horizontal="left" vertical="center"/>
    </xf>
    <xf numFmtId="43" fontId="27" fillId="2" borderId="2" xfId="1" applyFont="1" applyFill="1" applyBorder="1" applyAlignment="1">
      <alignment horizontal="right" vertical="center"/>
    </xf>
    <xf numFmtId="0" fontId="27" fillId="2" borderId="2" xfId="0" applyFont="1" applyFill="1" applyBorder="1" applyAlignment="1">
      <alignment horizontal="right" vertical="center"/>
    </xf>
    <xf numFmtId="0" fontId="27" fillId="2" borderId="2" xfId="0" applyFont="1" applyFill="1" applyBorder="1" applyAlignment="1">
      <alignment horizontal="right"/>
    </xf>
    <xf numFmtId="0" fontId="27" fillId="2" borderId="2" xfId="0" applyFont="1" applyFill="1" applyBorder="1" applyAlignment="1">
      <alignment horizontal="left"/>
    </xf>
    <xf numFmtId="0" fontId="27" fillId="2" borderId="8" xfId="0" applyFont="1" applyFill="1" applyBorder="1"/>
    <xf numFmtId="43" fontId="27" fillId="2" borderId="8" xfId="0" applyNumberFormat="1" applyFont="1" applyFill="1" applyBorder="1"/>
    <xf numFmtId="0" fontId="27" fillId="2" borderId="18" xfId="0" applyFont="1" applyFill="1" applyBorder="1"/>
    <xf numFmtId="0" fontId="25" fillId="2" borderId="2" xfId="0" applyFont="1" applyFill="1" applyBorder="1"/>
    <xf numFmtId="0" fontId="27" fillId="2" borderId="0" xfId="0" applyFont="1" applyFill="1" applyBorder="1"/>
    <xf numFmtId="0" fontId="25" fillId="2" borderId="0" xfId="0" applyFont="1" applyFill="1" applyBorder="1" applyAlignment="1">
      <alignment horizontal="right"/>
    </xf>
    <xf numFmtId="4" fontId="27" fillId="2" borderId="2" xfId="0" applyNumberFormat="1" applyFont="1" applyFill="1" applyBorder="1"/>
    <xf numFmtId="0" fontId="27" fillId="2" borderId="2" xfId="0" applyFont="1" applyFill="1" applyBorder="1" applyAlignment="1"/>
    <xf numFmtId="43" fontId="27" fillId="2" borderId="8" xfId="0" applyNumberFormat="1" applyFont="1" applyFill="1" applyBorder="1" applyAlignment="1"/>
    <xf numFmtId="43" fontId="27" fillId="2" borderId="2" xfId="0" applyNumberFormat="1" applyFont="1" applyFill="1" applyBorder="1" applyAlignment="1"/>
    <xf numFmtId="43" fontId="27" fillId="2" borderId="2" xfId="1" applyFont="1" applyFill="1" applyBorder="1"/>
    <xf numFmtId="43" fontId="27" fillId="2" borderId="2" xfId="0" applyNumberFormat="1" applyFont="1" applyFill="1" applyBorder="1" applyAlignment="1">
      <alignment horizontal="right"/>
    </xf>
    <xf numFmtId="43" fontId="27" fillId="2" borderId="2" xfId="0" applyNumberFormat="1" applyFont="1" applyFill="1" applyBorder="1" applyAlignment="1">
      <alignment horizontal="right" vertical="center"/>
    </xf>
    <xf numFmtId="0" fontId="27" fillId="2" borderId="3" xfId="0" applyFont="1" applyFill="1" applyBorder="1"/>
    <xf numFmtId="43" fontId="27" fillId="2" borderId="3" xfId="0" applyNumberFormat="1" applyFont="1" applyFill="1" applyBorder="1"/>
    <xf numFmtId="43" fontId="25" fillId="2" borderId="0" xfId="0" applyNumberFormat="1" applyFont="1" applyFill="1" applyBorder="1"/>
    <xf numFmtId="0" fontId="25" fillId="2" borderId="0" xfId="0" applyFont="1" applyFill="1" applyBorder="1"/>
    <xf numFmtId="43" fontId="27" fillId="2" borderId="0" xfId="0" applyNumberFormat="1" applyFont="1" applyFill="1" applyBorder="1"/>
    <xf numFmtId="0" fontId="27" fillId="2" borderId="2" xfId="0" applyFont="1" applyFill="1" applyBorder="1" applyAlignment="1">
      <alignment horizontal="left" vertical="top"/>
    </xf>
    <xf numFmtId="43" fontId="27" fillId="2" borderId="8" xfId="1" applyFont="1" applyFill="1" applyBorder="1"/>
    <xf numFmtId="0" fontId="29" fillId="2" borderId="0" xfId="0" applyFont="1" applyFill="1" applyBorder="1"/>
    <xf numFmtId="0" fontId="25" fillId="2" borderId="0" xfId="0" applyFont="1" applyFill="1" applyBorder="1" applyAlignment="1"/>
    <xf numFmtId="0" fontId="5" fillId="0" borderId="23" xfId="0" applyFont="1" applyBorder="1"/>
    <xf numFmtId="43" fontId="32" fillId="0" borderId="3" xfId="1" applyFont="1" applyBorder="1"/>
    <xf numFmtId="43" fontId="32" fillId="0" borderId="6" xfId="1" applyFont="1" applyBorder="1"/>
    <xf numFmtId="43" fontId="33" fillId="0" borderId="2" xfId="1" applyFont="1" applyBorder="1"/>
    <xf numFmtId="43" fontId="32" fillId="0" borderId="1" xfId="1" applyFont="1" applyBorder="1"/>
    <xf numFmtId="43" fontId="34" fillId="0" borderId="2" xfId="1" applyFont="1" applyBorder="1"/>
    <xf numFmtId="43" fontId="34" fillId="0" borderId="12" xfId="1" applyFont="1" applyBorder="1"/>
    <xf numFmtId="0" fontId="27" fillId="0" borderId="0" xfId="0" applyFont="1"/>
    <xf numFmtId="43" fontId="27" fillId="0" borderId="0" xfId="1" applyFont="1" applyBorder="1"/>
    <xf numFmtId="43" fontId="27" fillId="0" borderId="0" xfId="0" applyNumberFormat="1" applyFont="1"/>
    <xf numFmtId="37" fontId="27" fillId="0" borderId="0" xfId="1" applyNumberFormat="1" applyFont="1" applyBorder="1"/>
    <xf numFmtId="0" fontId="27" fillId="0" borderId="0" xfId="0" applyFont="1" applyBorder="1"/>
    <xf numFmtId="0" fontId="10" fillId="0" borderId="0" xfId="0" applyFont="1" applyFill="1" applyBorder="1" applyAlignment="1">
      <alignment horizontal="right"/>
    </xf>
    <xf numFmtId="37" fontId="27" fillId="0" borderId="0" xfId="0" applyNumberFormat="1" applyFont="1" applyBorder="1"/>
    <xf numFmtId="37" fontId="25" fillId="0" borderId="0" xfId="0" applyNumberFormat="1" applyFont="1" applyBorder="1"/>
    <xf numFmtId="0" fontId="19" fillId="0" borderId="0" xfId="0" applyFont="1"/>
    <xf numFmtId="0" fontId="4" fillId="0" borderId="0" xfId="0" applyFont="1" applyAlignment="1">
      <alignment horizontal="center"/>
    </xf>
    <xf numFmtId="0" fontId="25" fillId="2" borderId="0" xfId="0" applyFont="1" applyFill="1" applyBorder="1" applyAlignment="1">
      <alignment horizontal="right"/>
    </xf>
    <xf numFmtId="9" fontId="4" fillId="0" borderId="0" xfId="2" applyFont="1" applyAlignment="1">
      <alignment horizontal="center"/>
    </xf>
    <xf numFmtId="3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left"/>
    </xf>
    <xf numFmtId="0" fontId="25" fillId="2" borderId="13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72200" y="819150"/>
          <a:ext cx="0" cy="2238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48475" y="819150"/>
          <a:ext cx="0" cy="2238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11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4191000" y="2038350"/>
          <a:ext cx="7143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opLeftCell="A33" workbookViewId="0">
      <selection activeCell="A39" sqref="A39"/>
    </sheetView>
  </sheetViews>
  <sheetFormatPr defaultRowHeight="15"/>
  <cols>
    <col min="1" max="1" width="35.7109375" customWidth="1"/>
    <col min="2" max="10" width="7.7109375" customWidth="1"/>
    <col min="11" max="11" width="8.7109375" customWidth="1"/>
    <col min="12" max="12" width="7.7109375" customWidth="1"/>
    <col min="13" max="13" width="9.28515625" customWidth="1"/>
    <col min="14" max="14" width="12" customWidth="1"/>
  </cols>
  <sheetData>
    <row r="1" spans="1:15" ht="20.2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5" ht="15.75">
      <c r="A2" s="344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5" ht="15.75">
      <c r="A3" s="342" t="s">
        <v>567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spans="1:15">
      <c r="O4" s="1"/>
    </row>
    <row r="5" spans="1:15" s="115" customFormat="1" ht="12.7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114"/>
    </row>
    <row r="6" spans="1:15" s="115" customFormat="1" ht="12.75">
      <c r="A6" s="2" t="s">
        <v>293</v>
      </c>
      <c r="O6" s="4"/>
    </row>
    <row r="7" spans="1:15" s="115" customFormat="1" ht="12.75">
      <c r="A7" s="180" t="s">
        <v>15</v>
      </c>
      <c r="B7" s="243">
        <v>0.63</v>
      </c>
      <c r="C7" s="243">
        <v>0.63</v>
      </c>
      <c r="D7" s="243">
        <v>0.63</v>
      </c>
      <c r="E7" s="243">
        <v>0.63</v>
      </c>
      <c r="F7" s="243">
        <v>0.63</v>
      </c>
      <c r="G7" s="243">
        <v>0.63</v>
      </c>
      <c r="H7" s="243">
        <v>0.63</v>
      </c>
      <c r="I7" s="243">
        <v>0.63</v>
      </c>
      <c r="J7" s="243">
        <v>0.63</v>
      </c>
      <c r="K7" s="243">
        <v>0.63</v>
      </c>
      <c r="L7" s="243">
        <v>0.63</v>
      </c>
      <c r="M7" s="243">
        <v>0.63</v>
      </c>
      <c r="N7" s="243">
        <v>0.63</v>
      </c>
      <c r="O7" s="116"/>
    </row>
    <row r="8" spans="1:15" s="115" customFormat="1" ht="12.75">
      <c r="A8" s="180" t="s">
        <v>16</v>
      </c>
      <c r="B8" s="243">
        <v>0.9</v>
      </c>
      <c r="C8" s="243">
        <v>0.9</v>
      </c>
      <c r="D8" s="243">
        <v>0.9</v>
      </c>
      <c r="E8" s="243">
        <v>0.9</v>
      </c>
      <c r="F8" s="243">
        <v>0.9</v>
      </c>
      <c r="G8" s="243">
        <v>0.9</v>
      </c>
      <c r="H8" s="243">
        <v>0.9</v>
      </c>
      <c r="I8" s="243">
        <v>0.9</v>
      </c>
      <c r="J8" s="243">
        <v>0.9</v>
      </c>
      <c r="K8" s="243">
        <v>0.9</v>
      </c>
      <c r="L8" s="243">
        <v>0.9</v>
      </c>
      <c r="M8" s="243">
        <v>0.9</v>
      </c>
      <c r="N8" s="243">
        <v>0.9</v>
      </c>
    </row>
    <row r="9" spans="1:15" s="115" customFormat="1" ht="12.75">
      <c r="A9" s="180" t="s">
        <v>17</v>
      </c>
      <c r="B9" s="243">
        <v>0.9</v>
      </c>
      <c r="C9" s="243">
        <v>0.9</v>
      </c>
      <c r="D9" s="243">
        <v>0.9</v>
      </c>
      <c r="E9" s="243">
        <v>0.9</v>
      </c>
      <c r="F9" s="243">
        <v>0.9</v>
      </c>
      <c r="G9" s="243">
        <v>0.9</v>
      </c>
      <c r="H9" s="243">
        <v>0.9</v>
      </c>
      <c r="I9" s="243">
        <v>0.9</v>
      </c>
      <c r="J9" s="243">
        <v>0.9</v>
      </c>
      <c r="K9" s="243">
        <v>0.9</v>
      </c>
      <c r="L9" s="243">
        <v>0.9</v>
      </c>
      <c r="M9" s="243">
        <v>0.9</v>
      </c>
      <c r="N9" s="243">
        <v>0.9</v>
      </c>
    </row>
    <row r="10" spans="1:15" s="115" customFormat="1" ht="12.75">
      <c r="A10" s="180" t="s">
        <v>18</v>
      </c>
      <c r="B10" s="243">
        <v>0.3</v>
      </c>
      <c r="C10" s="243">
        <v>0.3</v>
      </c>
      <c r="D10" s="243">
        <v>0.3</v>
      </c>
      <c r="E10" s="243">
        <v>0.3</v>
      </c>
      <c r="F10" s="243">
        <v>0.3</v>
      </c>
      <c r="G10" s="243">
        <v>0.3</v>
      </c>
      <c r="H10" s="243">
        <v>0.3</v>
      </c>
      <c r="I10" s="243">
        <v>0.3</v>
      </c>
      <c r="J10" s="243">
        <v>0.3</v>
      </c>
      <c r="K10" s="243">
        <v>0.3</v>
      </c>
      <c r="L10" s="243">
        <v>0.3</v>
      </c>
      <c r="M10" s="243">
        <v>0.3</v>
      </c>
      <c r="N10" s="243">
        <v>0.3</v>
      </c>
    </row>
    <row r="11" spans="1:15" s="115" customFormat="1" ht="12.75">
      <c r="A11" s="38" t="s">
        <v>568</v>
      </c>
      <c r="B11" s="243">
        <v>0.9</v>
      </c>
      <c r="C11" s="243">
        <v>0.9</v>
      </c>
      <c r="D11" s="243">
        <v>0.9</v>
      </c>
      <c r="E11" s="243">
        <v>0.9</v>
      </c>
      <c r="F11" s="243">
        <v>0.9</v>
      </c>
      <c r="G11" s="243">
        <v>0.9</v>
      </c>
      <c r="H11" s="243">
        <v>0.9</v>
      </c>
      <c r="I11" s="243">
        <v>0.9</v>
      </c>
      <c r="J11" s="243">
        <v>0.9</v>
      </c>
      <c r="K11" s="243">
        <v>0.9</v>
      </c>
      <c r="L11" s="243">
        <v>0.9</v>
      </c>
      <c r="M11" s="243">
        <v>0.9</v>
      </c>
      <c r="N11" s="243">
        <v>0.9</v>
      </c>
    </row>
    <row r="12" spans="1:15" s="115" customFormat="1" ht="12.75">
      <c r="A12" s="38" t="s">
        <v>19</v>
      </c>
      <c r="B12" s="253">
        <v>0.69850000000000001</v>
      </c>
      <c r="C12" s="253">
        <v>0.81100000000000005</v>
      </c>
      <c r="D12" s="253">
        <v>1.0007999999999999</v>
      </c>
      <c r="E12" s="253">
        <v>0.8992</v>
      </c>
      <c r="F12" s="253">
        <v>1.0376000000000001</v>
      </c>
      <c r="G12" s="254">
        <v>0.97040000000000004</v>
      </c>
      <c r="H12" s="253">
        <v>0.94669999999999999</v>
      </c>
      <c r="I12" s="254">
        <v>0.94169999999999998</v>
      </c>
      <c r="J12" s="253">
        <v>0.9264</v>
      </c>
      <c r="K12" s="253">
        <v>0.99890000000000001</v>
      </c>
      <c r="L12" s="38"/>
      <c r="M12" s="38"/>
      <c r="N12" s="38"/>
    </row>
    <row r="13" spans="1:15" s="115" customFormat="1" ht="12.75">
      <c r="A13" s="2" t="s">
        <v>20</v>
      </c>
      <c r="N13" s="10"/>
    </row>
    <row r="14" spans="1:15" s="115" customFormat="1" ht="12.75">
      <c r="A14" s="115" t="s">
        <v>21</v>
      </c>
      <c r="N14" s="10"/>
    </row>
    <row r="15" spans="1:15" s="240" customFormat="1" ht="12.75">
      <c r="A15" s="244" t="s">
        <v>22</v>
      </c>
      <c r="B15" s="245">
        <v>25</v>
      </c>
      <c r="C15" s="245">
        <v>32</v>
      </c>
      <c r="D15" s="245">
        <v>25</v>
      </c>
      <c r="E15" s="245">
        <v>40</v>
      </c>
      <c r="F15" s="245">
        <v>44</v>
      </c>
      <c r="G15" s="245">
        <v>53</v>
      </c>
      <c r="H15" s="245">
        <v>30</v>
      </c>
      <c r="I15" s="245">
        <v>35</v>
      </c>
      <c r="J15" s="245">
        <v>30</v>
      </c>
      <c r="K15" s="245">
        <v>20</v>
      </c>
      <c r="L15" s="245">
        <v>20</v>
      </c>
      <c r="M15" s="245">
        <v>20</v>
      </c>
      <c r="N15" s="174">
        <f>SUM(B15:M15)</f>
        <v>374</v>
      </c>
      <c r="O15" s="241"/>
    </row>
    <row r="16" spans="1:15" s="115" customFormat="1" ht="12.75">
      <c r="A16" s="180" t="s">
        <v>23</v>
      </c>
      <c r="B16" s="246">
        <v>1170</v>
      </c>
      <c r="C16" s="246">
        <v>1170</v>
      </c>
      <c r="D16" s="246">
        <v>1170</v>
      </c>
      <c r="E16" s="246">
        <v>1170</v>
      </c>
      <c r="F16" s="246">
        <v>1170</v>
      </c>
      <c r="G16" s="246">
        <v>1170</v>
      </c>
      <c r="H16" s="246">
        <v>1170</v>
      </c>
      <c r="I16" s="246">
        <v>1170</v>
      </c>
      <c r="J16" s="246">
        <v>1170</v>
      </c>
      <c r="K16" s="246">
        <v>1170</v>
      </c>
      <c r="L16" s="246">
        <v>1170</v>
      </c>
      <c r="M16" s="246">
        <v>1170</v>
      </c>
      <c r="N16" s="173">
        <f>SUM(B16:M16)</f>
        <v>14040</v>
      </c>
    </row>
    <row r="17" spans="1:15" s="115" customFormat="1" ht="12.75">
      <c r="A17" s="180" t="s">
        <v>24</v>
      </c>
      <c r="B17" s="246">
        <f>SUM(B15*B16)</f>
        <v>29250</v>
      </c>
      <c r="C17" s="246">
        <f t="shared" ref="C17:M17" si="0">SUM(C15*C16)</f>
        <v>37440</v>
      </c>
      <c r="D17" s="246">
        <f t="shared" si="0"/>
        <v>29250</v>
      </c>
      <c r="E17" s="246">
        <f t="shared" si="0"/>
        <v>46800</v>
      </c>
      <c r="F17" s="246">
        <f t="shared" si="0"/>
        <v>51480</v>
      </c>
      <c r="G17" s="246">
        <f t="shared" si="0"/>
        <v>62010</v>
      </c>
      <c r="H17" s="246">
        <f t="shared" si="0"/>
        <v>35100</v>
      </c>
      <c r="I17" s="246">
        <f t="shared" si="0"/>
        <v>40950</v>
      </c>
      <c r="J17" s="246">
        <f t="shared" si="0"/>
        <v>35100</v>
      </c>
      <c r="K17" s="246">
        <f t="shared" si="0"/>
        <v>23400</v>
      </c>
      <c r="L17" s="246">
        <f t="shared" si="0"/>
        <v>23400</v>
      </c>
      <c r="M17" s="246">
        <f t="shared" si="0"/>
        <v>23400</v>
      </c>
      <c r="N17" s="173">
        <f>SUM(B17:M17)</f>
        <v>437580</v>
      </c>
      <c r="O17" s="119"/>
    </row>
    <row r="18" spans="1:15" s="115" customFormat="1" ht="12.75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73"/>
      <c r="O18" s="119"/>
    </row>
    <row r="19" spans="1:15" s="240" customFormat="1" ht="12.75">
      <c r="A19" s="247" t="s">
        <v>569</v>
      </c>
      <c r="B19" s="245">
        <v>20</v>
      </c>
      <c r="C19" s="245">
        <v>35</v>
      </c>
      <c r="D19" s="245">
        <v>20</v>
      </c>
      <c r="E19" s="245">
        <v>35</v>
      </c>
      <c r="F19" s="245">
        <v>60</v>
      </c>
      <c r="G19" s="245">
        <v>50</v>
      </c>
      <c r="H19" s="245">
        <v>25</v>
      </c>
      <c r="I19" s="245">
        <v>30</v>
      </c>
      <c r="J19" s="245">
        <v>20</v>
      </c>
      <c r="K19" s="245">
        <v>18</v>
      </c>
      <c r="L19" s="245">
        <v>18</v>
      </c>
      <c r="M19" s="245">
        <v>16</v>
      </c>
      <c r="N19" s="174">
        <f>SUM(B19:M19)</f>
        <v>347</v>
      </c>
      <c r="O19" s="242"/>
    </row>
    <row r="20" spans="1:15" s="240" customFormat="1" ht="12.75">
      <c r="A20" s="247" t="s">
        <v>25</v>
      </c>
      <c r="B20" s="245">
        <v>22</v>
      </c>
      <c r="C20" s="245">
        <v>30</v>
      </c>
      <c r="D20" s="245">
        <v>28</v>
      </c>
      <c r="E20" s="245">
        <v>36</v>
      </c>
      <c r="F20" s="245">
        <v>40</v>
      </c>
      <c r="G20" s="245">
        <v>80</v>
      </c>
      <c r="H20" s="245">
        <v>35</v>
      </c>
      <c r="I20" s="245">
        <v>47</v>
      </c>
      <c r="J20" s="245">
        <v>37</v>
      </c>
      <c r="K20" s="245">
        <v>30</v>
      </c>
      <c r="L20" s="245"/>
      <c r="M20" s="245"/>
      <c r="N20" s="174">
        <f>SUM(B20:M20)</f>
        <v>385</v>
      </c>
      <c r="O20" s="242"/>
    </row>
    <row r="21" spans="1:15" s="115" customFormat="1" ht="9" customHeight="1">
      <c r="B21" s="118"/>
      <c r="C21" s="118"/>
      <c r="D21" s="118"/>
      <c r="E21" s="118"/>
      <c r="F21" s="118"/>
      <c r="G21" s="118"/>
      <c r="N21" s="10"/>
    </row>
    <row r="22" spans="1:15" s="115" customFormat="1" ht="12.75">
      <c r="N22" s="10"/>
    </row>
    <row r="23" spans="1:15" s="115" customFormat="1" ht="12.75">
      <c r="A23" s="180" t="s">
        <v>26</v>
      </c>
      <c r="B23" s="248">
        <f>B15</f>
        <v>25</v>
      </c>
      <c r="C23" s="248">
        <f t="shared" ref="C23:M23" si="1">C15</f>
        <v>32</v>
      </c>
      <c r="D23" s="248">
        <f t="shared" si="1"/>
        <v>25</v>
      </c>
      <c r="E23" s="248">
        <f t="shared" si="1"/>
        <v>40</v>
      </c>
      <c r="F23" s="248">
        <f t="shared" si="1"/>
        <v>44</v>
      </c>
      <c r="G23" s="248">
        <f t="shared" si="1"/>
        <v>53</v>
      </c>
      <c r="H23" s="248">
        <f t="shared" si="1"/>
        <v>30</v>
      </c>
      <c r="I23" s="248">
        <f t="shared" si="1"/>
        <v>35</v>
      </c>
      <c r="J23" s="248">
        <f t="shared" si="1"/>
        <v>30</v>
      </c>
      <c r="K23" s="248">
        <f t="shared" si="1"/>
        <v>20</v>
      </c>
      <c r="L23" s="248">
        <f t="shared" si="1"/>
        <v>20</v>
      </c>
      <c r="M23" s="248">
        <f t="shared" si="1"/>
        <v>20</v>
      </c>
      <c r="N23" s="174">
        <f>SUM(B23:M23)</f>
        <v>374</v>
      </c>
      <c r="O23" s="117"/>
    </row>
    <row r="24" spans="1:15" s="115" customFormat="1" ht="12.75">
      <c r="A24" s="180" t="s">
        <v>27</v>
      </c>
      <c r="B24" s="249">
        <v>650</v>
      </c>
      <c r="C24" s="249">
        <v>650</v>
      </c>
      <c r="D24" s="249">
        <v>650</v>
      </c>
      <c r="E24" s="249">
        <v>650</v>
      </c>
      <c r="F24" s="249">
        <v>650</v>
      </c>
      <c r="G24" s="249">
        <v>650</v>
      </c>
      <c r="H24" s="249">
        <v>650</v>
      </c>
      <c r="I24" s="249">
        <v>650</v>
      </c>
      <c r="J24" s="249">
        <v>650</v>
      </c>
      <c r="K24" s="249">
        <v>650</v>
      </c>
      <c r="L24" s="249">
        <v>650</v>
      </c>
      <c r="M24" s="249">
        <v>650</v>
      </c>
      <c r="N24" s="173"/>
    </row>
    <row r="25" spans="1:15" s="115" customFormat="1" ht="12.75">
      <c r="A25" s="180" t="s">
        <v>353</v>
      </c>
      <c r="B25" s="174">
        <f>B23*B24</f>
        <v>16250</v>
      </c>
      <c r="C25" s="174">
        <f t="shared" ref="C25:M25" si="2">C23*C24</f>
        <v>20800</v>
      </c>
      <c r="D25" s="174">
        <f t="shared" si="2"/>
        <v>16250</v>
      </c>
      <c r="E25" s="174">
        <f t="shared" si="2"/>
        <v>26000</v>
      </c>
      <c r="F25" s="174">
        <f t="shared" si="2"/>
        <v>28600</v>
      </c>
      <c r="G25" s="174">
        <f t="shared" si="2"/>
        <v>34450</v>
      </c>
      <c r="H25" s="174">
        <f t="shared" si="2"/>
        <v>19500</v>
      </c>
      <c r="I25" s="174">
        <f t="shared" si="2"/>
        <v>22750</v>
      </c>
      <c r="J25" s="174">
        <f t="shared" si="2"/>
        <v>19500</v>
      </c>
      <c r="K25" s="174">
        <f t="shared" si="2"/>
        <v>13000</v>
      </c>
      <c r="L25" s="174">
        <f t="shared" si="2"/>
        <v>13000</v>
      </c>
      <c r="M25" s="174">
        <f t="shared" si="2"/>
        <v>13000</v>
      </c>
      <c r="N25" s="173">
        <f t="shared" ref="N25:N30" si="3">SUM(B25:M25)</f>
        <v>243100</v>
      </c>
    </row>
    <row r="26" spans="1:15" s="115" customFormat="1" ht="10.5" customHeight="1">
      <c r="A26" s="180" t="s">
        <v>351</v>
      </c>
      <c r="B26" s="174">
        <v>4000</v>
      </c>
      <c r="C26" s="174">
        <v>4000</v>
      </c>
      <c r="D26" s="174">
        <v>4000</v>
      </c>
      <c r="E26" s="174">
        <v>4000</v>
      </c>
      <c r="F26" s="174">
        <v>4000</v>
      </c>
      <c r="G26" s="174">
        <v>4000</v>
      </c>
      <c r="H26" s="174">
        <v>4000</v>
      </c>
      <c r="I26" s="174">
        <v>4000</v>
      </c>
      <c r="J26" s="174">
        <v>4000</v>
      </c>
      <c r="K26" s="174">
        <v>4000</v>
      </c>
      <c r="L26" s="174">
        <v>4000</v>
      </c>
      <c r="M26" s="174">
        <v>4000</v>
      </c>
      <c r="N26" s="173">
        <f t="shared" si="3"/>
        <v>48000</v>
      </c>
    </row>
    <row r="27" spans="1:15" s="115" customFormat="1" ht="12.75">
      <c r="A27" s="180" t="s">
        <v>352</v>
      </c>
      <c r="B27" s="174">
        <f>SUM(B25:B26)</f>
        <v>20250</v>
      </c>
      <c r="C27" s="174">
        <f t="shared" ref="C27:M27" si="4">SUM(C25:C26)</f>
        <v>24800</v>
      </c>
      <c r="D27" s="174">
        <f t="shared" si="4"/>
        <v>20250</v>
      </c>
      <c r="E27" s="174">
        <f t="shared" si="4"/>
        <v>30000</v>
      </c>
      <c r="F27" s="174">
        <f t="shared" si="4"/>
        <v>32600</v>
      </c>
      <c r="G27" s="174">
        <f t="shared" si="4"/>
        <v>38450</v>
      </c>
      <c r="H27" s="174">
        <f t="shared" si="4"/>
        <v>23500</v>
      </c>
      <c r="I27" s="174">
        <f t="shared" si="4"/>
        <v>26750</v>
      </c>
      <c r="J27" s="174">
        <f t="shared" si="4"/>
        <v>23500</v>
      </c>
      <c r="K27" s="174">
        <f t="shared" si="4"/>
        <v>17000</v>
      </c>
      <c r="L27" s="174">
        <f t="shared" si="4"/>
        <v>17000</v>
      </c>
      <c r="M27" s="174">
        <f t="shared" si="4"/>
        <v>17000</v>
      </c>
      <c r="N27" s="173">
        <f t="shared" si="3"/>
        <v>291100</v>
      </c>
    </row>
    <row r="28" spans="1:15" s="115" customFormat="1" ht="12.75" hidden="1">
      <c r="A28" s="38" t="s">
        <v>349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173">
        <f t="shared" si="3"/>
        <v>0</v>
      </c>
    </row>
    <row r="29" spans="1:15" s="115" customFormat="1" ht="12.75" hidden="1">
      <c r="A29" s="38" t="s">
        <v>350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173">
        <f t="shared" si="3"/>
        <v>0</v>
      </c>
    </row>
    <row r="30" spans="1:15" s="115" customFormat="1" ht="12.75">
      <c r="A30" s="38" t="s">
        <v>570</v>
      </c>
      <c r="B30" s="174">
        <v>24848.17</v>
      </c>
      <c r="C30" s="174">
        <v>23036.05</v>
      </c>
      <c r="D30" s="174">
        <v>26822.959999999999</v>
      </c>
      <c r="E30" s="174">
        <v>30513.61</v>
      </c>
      <c r="F30" s="174">
        <v>40177.75</v>
      </c>
      <c r="G30" s="174">
        <v>54668.08</v>
      </c>
      <c r="H30" s="174">
        <v>38389.35</v>
      </c>
      <c r="I30" s="174">
        <v>26108.74</v>
      </c>
      <c r="J30" s="174">
        <v>18996.7</v>
      </c>
      <c r="K30" s="174">
        <v>21942.55</v>
      </c>
      <c r="L30" s="174"/>
      <c r="M30" s="174"/>
      <c r="N30" s="173">
        <f t="shared" si="3"/>
        <v>305503.96000000002</v>
      </c>
    </row>
    <row r="31" spans="1:15" s="115" customFormat="1" ht="12.75">
      <c r="A31" s="2" t="s">
        <v>28</v>
      </c>
    </row>
    <row r="32" spans="1:15" s="115" customFormat="1" ht="12.75">
      <c r="A32" s="115" t="s">
        <v>29</v>
      </c>
    </row>
    <row r="33" spans="1:16" s="115" customFormat="1" ht="12.75">
      <c r="A33" s="180" t="s">
        <v>30</v>
      </c>
      <c r="B33" s="248">
        <v>10</v>
      </c>
      <c r="C33" s="248">
        <v>10</v>
      </c>
      <c r="D33" s="248">
        <v>10</v>
      </c>
      <c r="E33" s="248">
        <v>10</v>
      </c>
      <c r="F33" s="248">
        <v>10</v>
      </c>
      <c r="G33" s="248">
        <v>10</v>
      </c>
      <c r="H33" s="248">
        <v>10</v>
      </c>
      <c r="I33" s="248">
        <v>10</v>
      </c>
      <c r="J33" s="248">
        <v>10</v>
      </c>
      <c r="K33" s="248">
        <v>10</v>
      </c>
      <c r="L33" s="248">
        <v>10</v>
      </c>
      <c r="M33" s="248">
        <v>10</v>
      </c>
      <c r="N33" s="251">
        <v>120</v>
      </c>
    </row>
    <row r="34" spans="1:16" s="115" customFormat="1" ht="12.75">
      <c r="A34" s="180" t="s">
        <v>31</v>
      </c>
      <c r="B34" s="252">
        <v>100</v>
      </c>
      <c r="C34" s="252">
        <v>100</v>
      </c>
      <c r="D34" s="252">
        <v>100</v>
      </c>
      <c r="E34" s="252">
        <v>100</v>
      </c>
      <c r="F34" s="252">
        <v>100</v>
      </c>
      <c r="G34" s="252">
        <v>100</v>
      </c>
      <c r="H34" s="252">
        <v>100</v>
      </c>
      <c r="I34" s="252">
        <v>100</v>
      </c>
      <c r="J34" s="252">
        <v>100</v>
      </c>
      <c r="K34" s="252">
        <v>100</v>
      </c>
      <c r="L34" s="252">
        <v>100</v>
      </c>
      <c r="M34" s="252">
        <v>100</v>
      </c>
      <c r="N34" s="252">
        <v>100</v>
      </c>
    </row>
    <row r="35" spans="1:16" s="115" customFormat="1" ht="12.75">
      <c r="A35" s="180" t="s">
        <v>32</v>
      </c>
      <c r="B35" s="174">
        <v>1000</v>
      </c>
      <c r="C35" s="174">
        <v>1000</v>
      </c>
      <c r="D35" s="174">
        <v>1000</v>
      </c>
      <c r="E35" s="174">
        <v>1000</v>
      </c>
      <c r="F35" s="174">
        <v>1000</v>
      </c>
      <c r="G35" s="174">
        <v>1000</v>
      </c>
      <c r="H35" s="174">
        <v>1000</v>
      </c>
      <c r="I35" s="174">
        <v>1000</v>
      </c>
      <c r="J35" s="174">
        <v>1000</v>
      </c>
      <c r="K35" s="174">
        <v>1000</v>
      </c>
      <c r="L35" s="174">
        <v>1000</v>
      </c>
      <c r="M35" s="174">
        <v>1000</v>
      </c>
      <c r="N35" s="173">
        <v>12000</v>
      </c>
    </row>
    <row r="36" spans="1:16" s="115" customFormat="1" ht="12.75"/>
    <row r="37" spans="1:16" s="115" customFormat="1" ht="12.75">
      <c r="A37" s="180" t="s">
        <v>33</v>
      </c>
      <c r="B37" s="252">
        <v>250</v>
      </c>
      <c r="C37" s="252">
        <v>250</v>
      </c>
      <c r="D37" s="252">
        <v>250</v>
      </c>
      <c r="E37" s="252">
        <v>250</v>
      </c>
      <c r="F37" s="252">
        <v>250</v>
      </c>
      <c r="G37" s="252">
        <v>250</v>
      </c>
      <c r="H37" s="252">
        <v>250</v>
      </c>
      <c r="I37" s="252">
        <v>250</v>
      </c>
      <c r="J37" s="252">
        <v>250</v>
      </c>
      <c r="K37" s="252">
        <v>250</v>
      </c>
      <c r="L37" s="252">
        <v>250</v>
      </c>
      <c r="M37" s="252">
        <v>250</v>
      </c>
      <c r="N37" s="173">
        <f>SUM(B37:M37)</f>
        <v>3000</v>
      </c>
    </row>
    <row r="38" spans="1:16" s="115" customFormat="1" ht="12.75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1"/>
    </row>
    <row r="39" spans="1:16" s="115" customFormat="1" ht="12.75">
      <c r="A39" s="38" t="s">
        <v>571</v>
      </c>
      <c r="B39" s="252">
        <v>2000</v>
      </c>
      <c r="C39" s="252">
        <v>2000</v>
      </c>
      <c r="D39" s="252">
        <v>2000</v>
      </c>
      <c r="E39" s="252">
        <v>2000</v>
      </c>
      <c r="F39" s="252">
        <v>2000</v>
      </c>
      <c r="G39" s="252">
        <v>2000</v>
      </c>
      <c r="H39" s="252">
        <v>2000</v>
      </c>
      <c r="I39" s="252">
        <v>2000</v>
      </c>
      <c r="J39" s="252">
        <v>2000</v>
      </c>
      <c r="K39" s="252">
        <v>2000</v>
      </c>
      <c r="L39" s="252">
        <v>2000</v>
      </c>
      <c r="M39" s="252">
        <v>2000</v>
      </c>
      <c r="N39" s="173">
        <f>SUM(B39:M39)</f>
        <v>24000</v>
      </c>
      <c r="O39" s="118"/>
      <c r="P39" s="118"/>
    </row>
    <row r="40" spans="1:16" s="115" customFormat="1" ht="12.75">
      <c r="A40" s="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6" s="115" customFormat="1" ht="12.75">
      <c r="H41" s="2"/>
    </row>
    <row r="42" spans="1:16" s="115" customFormat="1" ht="12.75">
      <c r="A42" s="2"/>
      <c r="C42" s="2"/>
    </row>
    <row r="43" spans="1:16" s="115" customFormat="1" ht="12.75">
      <c r="M43" s="10"/>
    </row>
    <row r="44" spans="1:16" s="115" customFormat="1" ht="12.75">
      <c r="A44" s="2"/>
      <c r="C44" s="2"/>
      <c r="H44" s="2"/>
      <c r="M44" s="10"/>
    </row>
    <row r="45" spans="1:16" s="115" customFormat="1" ht="12.75">
      <c r="C45" s="10"/>
    </row>
    <row r="46" spans="1:16">
      <c r="A46" s="11"/>
      <c r="B46" s="12"/>
      <c r="C46" s="13"/>
      <c r="D46" s="14"/>
      <c r="E46" s="8"/>
      <c r="F46" s="8"/>
      <c r="G46" s="8"/>
      <c r="H46" s="8"/>
      <c r="I46" s="8"/>
      <c r="J46" s="8"/>
      <c r="K46" s="8"/>
      <c r="L46" s="8"/>
      <c r="M46" s="13"/>
      <c r="N46" s="13"/>
      <c r="O46" s="14"/>
    </row>
    <row r="47" spans="1:16" ht="20.25">
      <c r="A47" s="343" t="s">
        <v>0</v>
      </c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</row>
    <row r="48" spans="1:16" ht="15.75">
      <c r="A48" s="344" t="s">
        <v>1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</row>
    <row r="49" spans="1:15" ht="15.75">
      <c r="A49" s="342" t="s">
        <v>567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7"/>
    </row>
    <row r="50" spans="1:15">
      <c r="H50" s="2"/>
      <c r="O50" s="7"/>
    </row>
    <row r="51" spans="1:15">
      <c r="A51" s="2"/>
      <c r="C51" s="2"/>
    </row>
    <row r="52" spans="1:15" ht="24.95" customHeight="1">
      <c r="A52" s="67" t="s">
        <v>41</v>
      </c>
      <c r="B52" s="214"/>
      <c r="C52" s="215"/>
      <c r="D52" s="216"/>
      <c r="E52" s="217"/>
      <c r="F52" s="217"/>
      <c r="G52" s="217"/>
      <c r="H52" s="217"/>
      <c r="I52" s="217"/>
      <c r="J52" s="217"/>
      <c r="K52" s="217"/>
      <c r="L52" s="217"/>
      <c r="M52" s="340">
        <f>Connection!M11</f>
        <v>3265</v>
      </c>
      <c r="N52" s="340"/>
      <c r="O52" s="1"/>
    </row>
    <row r="53" spans="1:15" ht="24.95" customHeight="1">
      <c r="A53" s="67" t="s">
        <v>42</v>
      </c>
      <c r="B53" s="67"/>
      <c r="C53" s="215"/>
      <c r="D53" s="216"/>
      <c r="E53" s="218"/>
      <c r="F53" s="218"/>
      <c r="G53" s="218"/>
      <c r="H53" s="218"/>
      <c r="I53" s="218"/>
      <c r="J53" s="218"/>
      <c r="K53" s="218"/>
      <c r="L53" s="218"/>
      <c r="M53" s="340">
        <f>(Connection!M7+Connection!B7)/2</f>
        <v>3035.5</v>
      </c>
      <c r="N53" s="340"/>
      <c r="O53" s="6"/>
    </row>
    <row r="54" spans="1:15" ht="24.95" customHeight="1">
      <c r="A54" s="67" t="s">
        <v>43</v>
      </c>
      <c r="B54" s="67"/>
      <c r="C54" s="67"/>
      <c r="D54" s="218"/>
      <c r="E54" s="218"/>
      <c r="F54" s="218"/>
      <c r="G54" s="218"/>
      <c r="H54" s="218"/>
      <c r="I54" s="218"/>
      <c r="J54" s="218"/>
      <c r="K54" s="218"/>
      <c r="L54" s="218"/>
      <c r="M54" s="340">
        <f>N15</f>
        <v>374</v>
      </c>
      <c r="N54" s="340"/>
      <c r="O54" s="14"/>
    </row>
    <row r="55" spans="1:15" ht="24.95" customHeight="1">
      <c r="A55" s="67" t="s">
        <v>728</v>
      </c>
      <c r="B55" s="196"/>
      <c r="C55" s="196"/>
      <c r="D55" s="219"/>
      <c r="E55" s="219"/>
      <c r="F55" s="219"/>
      <c r="G55" s="219"/>
      <c r="H55" s="219"/>
      <c r="I55" s="219"/>
      <c r="J55" s="219"/>
      <c r="K55" s="219"/>
      <c r="L55" s="219"/>
      <c r="M55" s="341">
        <v>17</v>
      </c>
      <c r="N55" s="341"/>
      <c r="O55" s="6">
        <f>Rates!C20+((Computation!M55-10)*Rates!D20)</f>
        <v>498.5</v>
      </c>
    </row>
    <row r="56" spans="1:15" ht="24.95" customHeight="1">
      <c r="A56" s="67" t="s">
        <v>730</v>
      </c>
      <c r="B56" s="337"/>
      <c r="C56" s="337"/>
      <c r="D56" s="219"/>
      <c r="E56" s="219"/>
      <c r="F56" s="219"/>
      <c r="G56" s="219"/>
      <c r="H56" s="219"/>
      <c r="I56" s="219"/>
      <c r="J56" s="219"/>
      <c r="K56" s="219"/>
      <c r="L56" s="219"/>
      <c r="M56" s="341">
        <v>31</v>
      </c>
      <c r="N56" s="341"/>
      <c r="O56" s="6">
        <v>1924</v>
      </c>
    </row>
    <row r="57" spans="1:15" ht="24.95" customHeight="1">
      <c r="A57" s="67" t="s">
        <v>729</v>
      </c>
      <c r="B57" s="337"/>
      <c r="C57" s="337"/>
      <c r="D57" s="219"/>
      <c r="E57" s="219"/>
      <c r="F57" s="219"/>
      <c r="G57" s="219"/>
      <c r="H57" s="219"/>
      <c r="I57" s="219"/>
      <c r="J57" s="219"/>
      <c r="K57" s="219"/>
      <c r="L57" s="219"/>
      <c r="M57" s="341">
        <v>20</v>
      </c>
      <c r="N57" s="341"/>
      <c r="O57" s="6">
        <f>Rates!C22+((Computation!M57-10)*Rates!D22)</f>
        <v>1032.25</v>
      </c>
    </row>
    <row r="58" spans="1:15" ht="24.95" customHeight="1">
      <c r="A58" s="67" t="s">
        <v>731</v>
      </c>
      <c r="B58" s="337"/>
      <c r="C58" s="337"/>
      <c r="D58" s="219"/>
      <c r="E58" s="219"/>
      <c r="F58" s="219"/>
      <c r="G58" s="219"/>
      <c r="H58" s="219"/>
      <c r="I58" s="219"/>
      <c r="J58" s="219"/>
      <c r="K58" s="219"/>
      <c r="L58" s="219"/>
      <c r="M58" s="341">
        <v>20</v>
      </c>
      <c r="N58" s="341"/>
      <c r="O58" s="6">
        <f>Rates!C23+((Computation!M58-10)*Rates!D23)</f>
        <v>885</v>
      </c>
    </row>
    <row r="59" spans="1:15" ht="24.95" customHeight="1">
      <c r="A59" s="67" t="s">
        <v>732</v>
      </c>
      <c r="B59" s="337"/>
      <c r="C59" s="337"/>
      <c r="D59" s="219"/>
      <c r="E59" s="219"/>
      <c r="F59" s="219"/>
      <c r="G59" s="219"/>
      <c r="H59" s="219"/>
      <c r="I59" s="219"/>
      <c r="J59" s="219"/>
      <c r="K59" s="219"/>
      <c r="L59" s="219"/>
      <c r="M59" s="341">
        <v>14.7</v>
      </c>
      <c r="N59" s="341"/>
      <c r="O59" s="6">
        <f>Rates!C24+((Computation!M59-10)*Rates!D24)</f>
        <v>535.31999999999994</v>
      </c>
    </row>
    <row r="60" spans="1:15" ht="24.95" customHeight="1">
      <c r="A60" s="67" t="s">
        <v>733</v>
      </c>
      <c r="B60" s="337"/>
      <c r="C60" s="337"/>
      <c r="D60" s="219"/>
      <c r="E60" s="219"/>
      <c r="F60" s="219"/>
      <c r="G60" s="219"/>
      <c r="H60" s="219"/>
      <c r="I60" s="219"/>
      <c r="J60" s="219"/>
      <c r="K60" s="219"/>
      <c r="L60" s="219"/>
      <c r="M60" s="341">
        <v>5.2</v>
      </c>
      <c r="N60" s="341"/>
      <c r="O60" s="6">
        <f>Rates!C25</f>
        <v>249.375</v>
      </c>
    </row>
    <row r="61" spans="1:15" ht="24.95" customHeight="1">
      <c r="A61" s="67" t="s">
        <v>734</v>
      </c>
      <c r="B61" s="337"/>
      <c r="C61" s="337"/>
      <c r="D61" s="219"/>
      <c r="E61" s="219"/>
      <c r="F61" s="219"/>
      <c r="G61" s="219"/>
      <c r="H61" s="219"/>
      <c r="I61" s="219"/>
      <c r="J61" s="219"/>
      <c r="K61" s="219"/>
      <c r="L61" s="219"/>
      <c r="M61" s="341">
        <v>4.7</v>
      </c>
      <c r="N61" s="341"/>
      <c r="O61" s="6">
        <f>Rates!C26</f>
        <v>213.75</v>
      </c>
    </row>
    <row r="62" spans="1:15" ht="24.95" customHeight="1">
      <c r="A62" s="67" t="s">
        <v>735</v>
      </c>
      <c r="B62" s="337"/>
      <c r="C62" s="337"/>
      <c r="D62" s="219"/>
      <c r="E62" s="219"/>
      <c r="F62" s="219"/>
      <c r="G62" s="219"/>
      <c r="H62" s="219"/>
      <c r="I62" s="219"/>
      <c r="J62" s="219"/>
      <c r="K62" s="219"/>
      <c r="L62" s="219"/>
      <c r="M62" s="341">
        <v>1.5</v>
      </c>
      <c r="N62" s="341"/>
      <c r="O62" s="6">
        <f>Rates!C27</f>
        <v>178.125</v>
      </c>
    </row>
    <row r="63" spans="1:15" ht="24.95" customHeight="1">
      <c r="A63" s="67" t="s">
        <v>44</v>
      </c>
      <c r="B63" s="220"/>
      <c r="C63" s="220"/>
      <c r="D63" s="221"/>
      <c r="E63" s="221"/>
      <c r="F63" s="221"/>
      <c r="G63" s="221"/>
      <c r="H63" s="221"/>
      <c r="I63" s="221"/>
      <c r="J63" s="221"/>
      <c r="K63" s="221"/>
      <c r="L63" s="221"/>
      <c r="M63" s="340">
        <f>Consumption!N14</f>
        <v>614006</v>
      </c>
      <c r="N63" s="340"/>
      <c r="O63" s="16"/>
    </row>
    <row r="64" spans="1:15" ht="24.95" customHeight="1">
      <c r="A64" s="67" t="s">
        <v>45</v>
      </c>
      <c r="B64" s="214"/>
      <c r="C64" s="222"/>
      <c r="D64" s="223"/>
      <c r="E64" s="217"/>
      <c r="F64" s="217"/>
      <c r="G64" s="217"/>
      <c r="H64" s="217"/>
      <c r="I64" s="217"/>
      <c r="J64" s="217"/>
      <c r="K64" s="217"/>
      <c r="L64" s="217"/>
      <c r="M64" s="339">
        <v>0.25</v>
      </c>
      <c r="N64" s="339"/>
    </row>
    <row r="65" spans="1:14" ht="24.95" customHeight="1">
      <c r="A65" s="67" t="s">
        <v>46</v>
      </c>
      <c r="B65" s="67"/>
      <c r="C65" s="67"/>
      <c r="D65" s="218"/>
      <c r="E65" s="218"/>
      <c r="F65" s="218"/>
      <c r="G65" s="218"/>
      <c r="H65" s="218"/>
      <c r="I65" s="218"/>
      <c r="J65" s="218"/>
      <c r="K65" s="218"/>
      <c r="L65" s="218"/>
      <c r="M65" s="340">
        <f>M63/0.75</f>
        <v>818674.66666666663</v>
      </c>
      <c r="N65" s="340"/>
    </row>
    <row r="66" spans="1:14" ht="24.95" customHeight="1">
      <c r="A66" s="67" t="s">
        <v>47</v>
      </c>
      <c r="B66" s="220"/>
      <c r="C66" s="224"/>
      <c r="D66" s="225"/>
      <c r="E66" s="221"/>
      <c r="F66" s="221"/>
      <c r="G66" s="221"/>
      <c r="H66" s="221"/>
      <c r="I66" s="221"/>
      <c r="J66" s="221"/>
      <c r="K66" s="221"/>
      <c r="L66" s="221"/>
      <c r="M66" s="339">
        <v>0</v>
      </c>
      <c r="N66" s="339"/>
    </row>
    <row r="68" spans="1:14">
      <c r="A68" s="2" t="s">
        <v>35</v>
      </c>
      <c r="C68" s="2" t="s">
        <v>36</v>
      </c>
      <c r="K68" s="2" t="s">
        <v>34</v>
      </c>
    </row>
    <row r="69" spans="1:14">
      <c r="K69" t="s">
        <v>37</v>
      </c>
    </row>
    <row r="70" spans="1:14">
      <c r="A70" s="2" t="s">
        <v>38</v>
      </c>
      <c r="C70" s="2" t="s">
        <v>39</v>
      </c>
    </row>
    <row r="71" spans="1:14">
      <c r="A71" t="s">
        <v>755</v>
      </c>
      <c r="C71" s="10" t="s">
        <v>756</v>
      </c>
      <c r="K71" s="2" t="s">
        <v>714</v>
      </c>
    </row>
    <row r="72" spans="1:14">
      <c r="K72" s="10" t="s">
        <v>48</v>
      </c>
    </row>
  </sheetData>
  <mergeCells count="21">
    <mergeCell ref="A49:N49"/>
    <mergeCell ref="A1:N1"/>
    <mergeCell ref="A2:N2"/>
    <mergeCell ref="A3:N3"/>
    <mergeCell ref="A47:N47"/>
    <mergeCell ref="A48:N48"/>
    <mergeCell ref="M64:N64"/>
    <mergeCell ref="M65:N65"/>
    <mergeCell ref="M66:N66"/>
    <mergeCell ref="M52:N52"/>
    <mergeCell ref="M53:N53"/>
    <mergeCell ref="M54:N54"/>
    <mergeCell ref="M55:N55"/>
    <mergeCell ref="M63:N63"/>
    <mergeCell ref="M56:N56"/>
    <mergeCell ref="M57:N57"/>
    <mergeCell ref="M58:N58"/>
    <mergeCell ref="M59:N59"/>
    <mergeCell ref="M60:N60"/>
    <mergeCell ref="M61:N61"/>
    <mergeCell ref="M62:N62"/>
  </mergeCells>
  <pageMargins left="0.5" right="1.5" top="0.5" bottom="0.5" header="0.3" footer="0.3"/>
  <pageSetup paperSize="5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topLeftCell="A7" zoomScale="160" zoomScaleNormal="160" workbookViewId="0">
      <selection activeCell="D17" sqref="D17"/>
    </sheetView>
  </sheetViews>
  <sheetFormatPr defaultRowHeight="15"/>
  <cols>
    <col min="1" max="1" width="1.140625" customWidth="1"/>
    <col min="2" max="2" width="30.28515625" customWidth="1"/>
    <col min="3" max="3" width="14.85546875" customWidth="1"/>
    <col min="4" max="4" width="14.7109375" customWidth="1"/>
    <col min="5" max="5" width="14.85546875" customWidth="1"/>
    <col min="6" max="6" width="14" customWidth="1"/>
  </cols>
  <sheetData>
    <row r="1" spans="1:7" ht="20.25">
      <c r="A1" s="360" t="s">
        <v>219</v>
      </c>
      <c r="B1" s="360"/>
      <c r="C1" s="360"/>
      <c r="D1" s="360"/>
      <c r="E1" s="360"/>
      <c r="F1" s="360"/>
      <c r="G1" s="162"/>
    </row>
    <row r="2" spans="1:7">
      <c r="A2" s="352" t="s">
        <v>220</v>
      </c>
      <c r="B2" s="352"/>
      <c r="C2" s="352"/>
      <c r="D2" s="352"/>
      <c r="E2" s="352"/>
      <c r="F2" s="352"/>
      <c r="G2" s="89"/>
    </row>
    <row r="3" spans="1:7">
      <c r="A3" s="352" t="s">
        <v>567</v>
      </c>
      <c r="B3" s="352"/>
      <c r="C3" s="352"/>
      <c r="D3" s="352"/>
      <c r="E3" s="352"/>
      <c r="F3" s="352"/>
      <c r="G3" s="89"/>
    </row>
    <row r="6" spans="1:7">
      <c r="C6" s="95" t="s">
        <v>169</v>
      </c>
      <c r="D6" s="1"/>
    </row>
    <row r="7" spans="1:7">
      <c r="B7" s="10"/>
      <c r="C7" s="95" t="s">
        <v>558</v>
      </c>
      <c r="D7" s="1" t="s">
        <v>170</v>
      </c>
      <c r="E7" s="1" t="s">
        <v>221</v>
      </c>
      <c r="F7" s="107" t="s">
        <v>222</v>
      </c>
    </row>
    <row r="8" spans="1:7">
      <c r="B8" s="2" t="s">
        <v>141</v>
      </c>
      <c r="C8" s="97">
        <v>2015</v>
      </c>
      <c r="D8" s="97">
        <v>2015</v>
      </c>
      <c r="E8" s="97" t="s">
        <v>574</v>
      </c>
      <c r="F8" s="97" t="s">
        <v>575</v>
      </c>
    </row>
    <row r="9" spans="1:7">
      <c r="B9" s="115" t="s">
        <v>223</v>
      </c>
      <c r="C9" s="5">
        <v>14031948</v>
      </c>
      <c r="D9" s="5">
        <v>15613322.92</v>
      </c>
      <c r="E9" s="5">
        <f>Receipts!N11</f>
        <v>19843694.585315</v>
      </c>
      <c r="F9" s="5">
        <f>SUM(E9-D9)</f>
        <v>4230371.6653150003</v>
      </c>
    </row>
    <row r="10" spans="1:7" ht="15.75" thickBot="1">
      <c r="A10" t="s">
        <v>224</v>
      </c>
      <c r="B10" s="115" t="s">
        <v>285</v>
      </c>
      <c r="C10" s="160">
        <v>1836426.92</v>
      </c>
      <c r="D10" s="160">
        <v>1507850.79</v>
      </c>
      <c r="E10" s="160">
        <f>Receipts!N17</f>
        <v>1883203.96</v>
      </c>
      <c r="F10" s="160">
        <f>SUM(E10-D10)</f>
        <v>375353.16999999993</v>
      </c>
    </row>
    <row r="11" spans="1:7" ht="15.75" thickTop="1">
      <c r="B11" s="115" t="s">
        <v>150</v>
      </c>
      <c r="C11" s="197">
        <f>SUM(C9:C10)</f>
        <v>15868374.92</v>
      </c>
      <c r="D11" s="197">
        <f>SUM(D9:D10)</f>
        <v>17121173.710000001</v>
      </c>
      <c r="E11" s="197">
        <f>SUM(E9:E10)</f>
        <v>21726898.545315001</v>
      </c>
      <c r="F11" s="197">
        <f>SUM(E11-D11)</f>
        <v>4605724.8353150003</v>
      </c>
    </row>
    <row r="12" spans="1:7">
      <c r="C12" s="119"/>
      <c r="D12" s="119"/>
      <c r="E12" s="119"/>
      <c r="F12" s="119"/>
    </row>
    <row r="13" spans="1:7">
      <c r="C13" s="119"/>
      <c r="D13" s="119"/>
      <c r="E13" s="119"/>
      <c r="F13" s="119"/>
    </row>
    <row r="14" spans="1:7">
      <c r="B14" s="2" t="s">
        <v>225</v>
      </c>
      <c r="C14" s="119"/>
      <c r="D14" s="119"/>
      <c r="E14" s="119"/>
      <c r="F14" s="119"/>
    </row>
    <row r="15" spans="1:7">
      <c r="B15" s="115" t="s">
        <v>226</v>
      </c>
      <c r="C15" s="119">
        <v>2342343.14</v>
      </c>
      <c r="D15" s="119">
        <v>5725202.6399999997</v>
      </c>
      <c r="E15" s="119">
        <f>Expense!H39</f>
        <v>7154207.6799999997</v>
      </c>
      <c r="F15" s="119">
        <f>SUM(E15-D15)</f>
        <v>1429005.04</v>
      </c>
    </row>
    <row r="16" spans="1:7">
      <c r="B16" s="115" t="s">
        <v>227</v>
      </c>
      <c r="C16" s="119">
        <v>1120586.75</v>
      </c>
      <c r="D16" s="119">
        <v>1524685.52</v>
      </c>
      <c r="E16" s="119">
        <f>Expense!H81</f>
        <v>1600271.8248000001</v>
      </c>
      <c r="F16" s="119">
        <f t="shared" ref="F16:F31" si="0">SUM(E16-D16)</f>
        <v>75586.304800000042</v>
      </c>
    </row>
    <row r="17" spans="2:6">
      <c r="B17" s="115" t="s">
        <v>228</v>
      </c>
      <c r="C17" s="119">
        <v>31980.2</v>
      </c>
      <c r="D17" s="119">
        <v>120000</v>
      </c>
      <c r="E17" s="119">
        <v>120000</v>
      </c>
      <c r="F17" s="119">
        <f t="shared" si="0"/>
        <v>0</v>
      </c>
    </row>
    <row r="18" spans="2:6" ht="15.75" thickBot="1">
      <c r="B18" s="115" t="s">
        <v>229</v>
      </c>
      <c r="C18" s="198">
        <v>4981575.0599999996</v>
      </c>
      <c r="D18" s="198">
        <v>2667200</v>
      </c>
      <c r="E18" s="198">
        <f>Expense!H100-'Cash Flow'!E15-'Cash Flow'!E16-'Cash Flow'!E17-'Cash Flow'!E27</f>
        <v>4358544.9299999988</v>
      </c>
      <c r="F18" s="198">
        <f t="shared" si="0"/>
        <v>1691344.9299999988</v>
      </c>
    </row>
    <row r="19" spans="2:6" ht="15.75" thickTop="1">
      <c r="B19" s="115" t="s">
        <v>230</v>
      </c>
      <c r="C19" s="119">
        <f>SUM(C14:C18)</f>
        <v>8476485.1500000004</v>
      </c>
      <c r="D19" s="119">
        <f>SUM(D14:D18)</f>
        <v>10037088.16</v>
      </c>
      <c r="E19" s="119">
        <f>SUM(E15:E18)</f>
        <v>13233024.434799999</v>
      </c>
      <c r="F19" s="119">
        <f t="shared" si="0"/>
        <v>3195936.2747999988</v>
      </c>
    </row>
    <row r="20" spans="2:6">
      <c r="B20" s="115"/>
      <c r="C20" s="119"/>
      <c r="D20" s="119"/>
      <c r="E20" s="119"/>
      <c r="F20" s="119"/>
    </row>
    <row r="21" spans="2:6">
      <c r="B21" s="115" t="s">
        <v>231</v>
      </c>
      <c r="C21" s="119"/>
      <c r="D21" s="119"/>
      <c r="E21" s="119"/>
      <c r="F21" s="119"/>
    </row>
    <row r="22" spans="2:6">
      <c r="B22" s="115" t="s">
        <v>232</v>
      </c>
      <c r="C22" s="119"/>
      <c r="D22" s="119"/>
      <c r="E22" s="119"/>
      <c r="F22" s="119"/>
    </row>
    <row r="23" spans="2:6">
      <c r="B23" s="115" t="s">
        <v>233</v>
      </c>
      <c r="C23" s="119"/>
      <c r="D23" s="119"/>
      <c r="E23" s="119"/>
      <c r="F23" s="119"/>
    </row>
    <row r="24" spans="2:6">
      <c r="B24" s="115" t="s">
        <v>234</v>
      </c>
      <c r="C24" s="119"/>
      <c r="D24" s="119">
        <v>2100000</v>
      </c>
      <c r="E24" s="119">
        <v>2100000</v>
      </c>
      <c r="F24" s="119">
        <f t="shared" si="0"/>
        <v>0</v>
      </c>
    </row>
    <row r="25" spans="2:6">
      <c r="B25" s="115" t="s">
        <v>235</v>
      </c>
      <c r="C25" s="119">
        <v>4061570.96</v>
      </c>
      <c r="D25" s="119">
        <v>4659326</v>
      </c>
      <c r="E25" s="119">
        <f>CAPEX!C26</f>
        <v>5728865</v>
      </c>
      <c r="F25" s="119">
        <f t="shared" si="0"/>
        <v>1069539</v>
      </c>
    </row>
    <row r="26" spans="2:6">
      <c r="B26" s="115" t="s">
        <v>236</v>
      </c>
      <c r="C26" s="119"/>
      <c r="D26" s="119"/>
      <c r="E26" s="119">
        <v>0</v>
      </c>
      <c r="F26" s="119">
        <f t="shared" si="0"/>
        <v>0</v>
      </c>
    </row>
    <row r="27" spans="2:6" ht="15.75" thickBot="1">
      <c r="B27" s="115" t="s">
        <v>237</v>
      </c>
      <c r="C27" s="198">
        <v>290696.73</v>
      </c>
      <c r="D27" s="198">
        <v>312266.46000000002</v>
      </c>
      <c r="E27" s="198">
        <f>Expense!H60</f>
        <v>396873.89170630003</v>
      </c>
      <c r="F27" s="198">
        <f t="shared" si="0"/>
        <v>84607.431706300005</v>
      </c>
    </row>
    <row r="28" spans="2:6" ht="15.75" thickTop="1">
      <c r="B28" s="115" t="s">
        <v>238</v>
      </c>
      <c r="C28" s="197">
        <f>SUM(C19:C27)</f>
        <v>12828752.84</v>
      </c>
      <c r="D28" s="197">
        <f>SUM(D19:D27)</f>
        <v>17108680.620000001</v>
      </c>
      <c r="E28" s="197">
        <f>SUM(E19:E27)</f>
        <v>21458763.326506298</v>
      </c>
      <c r="F28" s="197">
        <f t="shared" si="0"/>
        <v>4350082.706506297</v>
      </c>
    </row>
    <row r="29" spans="2:6">
      <c r="B29" s="115" t="s">
        <v>239</v>
      </c>
      <c r="C29" s="119">
        <f>SUM(C11-C28)</f>
        <v>3039622.08</v>
      </c>
      <c r="D29" s="119">
        <f>SUM(D11-D28)</f>
        <v>12493.089999999851</v>
      </c>
      <c r="E29" s="119">
        <f>SUM(E11-E28)</f>
        <v>268135.21880870312</v>
      </c>
      <c r="F29" s="119">
        <f t="shared" si="0"/>
        <v>255642.12880870327</v>
      </c>
    </row>
    <row r="30" spans="2:6">
      <c r="B30" s="115" t="s">
        <v>240</v>
      </c>
      <c r="C30" s="119">
        <v>5874329.3600000003</v>
      </c>
      <c r="D30" s="119">
        <v>5600000</v>
      </c>
      <c r="E30" s="119">
        <v>8000000</v>
      </c>
      <c r="F30" s="119">
        <f t="shared" si="0"/>
        <v>2400000</v>
      </c>
    </row>
    <row r="31" spans="2:6" ht="15.75" thickBot="1">
      <c r="B31" s="115" t="s">
        <v>241</v>
      </c>
      <c r="C31" s="199">
        <f>SUM(C29:C30)</f>
        <v>8913951.4400000013</v>
      </c>
      <c r="D31" s="199">
        <f>SUM(D29:D30)</f>
        <v>5612493.0899999999</v>
      </c>
      <c r="E31" s="199">
        <f>SUM(E29:E30)</f>
        <v>8268135.2188087031</v>
      </c>
      <c r="F31" s="199">
        <f t="shared" si="0"/>
        <v>2655642.1288087033</v>
      </c>
    </row>
    <row r="32" spans="2:6" ht="15.75" thickTop="1">
      <c r="C32" s="40"/>
      <c r="D32" s="7"/>
      <c r="E32" s="7"/>
      <c r="F32" s="7"/>
    </row>
    <row r="34" spans="2:5">
      <c r="D34" s="8"/>
      <c r="E34" s="10" t="s">
        <v>138</v>
      </c>
    </row>
    <row r="36" spans="2:5">
      <c r="D36" s="8"/>
    </row>
    <row r="38" spans="2:5">
      <c r="B38" t="s">
        <v>35</v>
      </c>
      <c r="D38" t="s">
        <v>36</v>
      </c>
    </row>
    <row r="40" spans="2:5">
      <c r="B40" s="2" t="s">
        <v>38</v>
      </c>
      <c r="D40" s="2" t="s">
        <v>39</v>
      </c>
    </row>
    <row r="41" spans="2:5">
      <c r="B41" t="s">
        <v>755</v>
      </c>
      <c r="D41" s="10" t="s">
        <v>756</v>
      </c>
    </row>
    <row r="42" spans="2:5">
      <c r="D42" s="40"/>
    </row>
    <row r="45" spans="2:5">
      <c r="B45" t="s">
        <v>242</v>
      </c>
    </row>
    <row r="46" spans="2:5">
      <c r="B46" t="s">
        <v>243</v>
      </c>
    </row>
    <row r="48" spans="2:5">
      <c r="B48" s="349" t="s">
        <v>715</v>
      </c>
      <c r="C48" s="349"/>
      <c r="D48" s="349"/>
    </row>
    <row r="49" spans="2:4">
      <c r="B49" s="359" t="s">
        <v>244</v>
      </c>
      <c r="C49" s="359"/>
      <c r="D49" s="359"/>
    </row>
    <row r="51" spans="2:4">
      <c r="B51" s="10"/>
    </row>
    <row r="53" spans="2:4">
      <c r="B53" s="2"/>
    </row>
  </sheetData>
  <mergeCells count="5">
    <mergeCell ref="B48:D48"/>
    <mergeCell ref="B49:D49"/>
    <mergeCell ref="A1:F1"/>
    <mergeCell ref="A2:F2"/>
    <mergeCell ref="A3:F3"/>
  </mergeCells>
  <pageMargins left="0.7" right="0.7" top="0.75" bottom="1.75" header="0.3" footer="0.3"/>
  <pageSetup paperSize="5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topLeftCell="A19" zoomScale="110" zoomScaleNormal="110" workbookViewId="0">
      <selection activeCell="C28" sqref="C28"/>
    </sheetView>
  </sheetViews>
  <sheetFormatPr defaultRowHeight="15"/>
  <cols>
    <col min="1" max="1" width="33" customWidth="1"/>
    <col min="2" max="2" width="13.85546875" customWidth="1"/>
    <col min="3" max="3" width="15" customWidth="1"/>
    <col min="4" max="4" width="16.5703125" customWidth="1"/>
    <col min="5" max="5" width="14.28515625" customWidth="1"/>
  </cols>
  <sheetData>
    <row r="1" spans="1:5" ht="20.25">
      <c r="A1" s="343" t="s">
        <v>0</v>
      </c>
      <c r="B1" s="343"/>
      <c r="C1" s="343"/>
      <c r="D1" s="343"/>
      <c r="E1" s="343"/>
    </row>
    <row r="2" spans="1:5" ht="18">
      <c r="A2" s="361" t="s">
        <v>245</v>
      </c>
      <c r="B2" s="361"/>
      <c r="C2" s="361"/>
      <c r="D2" s="361"/>
      <c r="E2" s="361"/>
    </row>
    <row r="3" spans="1:5" ht="15.75">
      <c r="A3" s="342" t="s">
        <v>567</v>
      </c>
      <c r="B3" s="342"/>
      <c r="C3" s="342"/>
      <c r="D3" s="342"/>
      <c r="E3" s="342"/>
    </row>
    <row r="4" spans="1:5">
      <c r="D4" s="1" t="s">
        <v>246</v>
      </c>
    </row>
    <row r="5" spans="1:5" ht="20.100000000000001" customHeight="1">
      <c r="B5" s="95" t="s">
        <v>247</v>
      </c>
      <c r="C5" s="1" t="s">
        <v>198</v>
      </c>
      <c r="D5" s="1" t="s">
        <v>248</v>
      </c>
      <c r="E5" s="107" t="s">
        <v>222</v>
      </c>
    </row>
    <row r="6" spans="1:5" ht="20.100000000000001" customHeight="1">
      <c r="B6" s="95" t="s">
        <v>558</v>
      </c>
      <c r="C6" s="97">
        <v>2015</v>
      </c>
      <c r="D6" s="97">
        <v>2016</v>
      </c>
      <c r="E6" s="108" t="s">
        <v>575</v>
      </c>
    </row>
    <row r="7" spans="1:5" ht="20.100000000000001" customHeight="1">
      <c r="A7" s="11" t="s">
        <v>249</v>
      </c>
      <c r="B7" s="282">
        <v>14874332.91</v>
      </c>
      <c r="C7" s="283">
        <v>15659564</v>
      </c>
      <c r="D7" s="284">
        <f>Revenues!N16</f>
        <v>20545468.357749999</v>
      </c>
      <c r="E7" s="285">
        <f>SUM(D7-C7)</f>
        <v>4885904.3577499986</v>
      </c>
    </row>
    <row r="8" spans="1:5" ht="20.100000000000001" customHeight="1">
      <c r="A8" s="11" t="s">
        <v>250</v>
      </c>
      <c r="B8" s="188"/>
      <c r="C8" s="188"/>
      <c r="D8" s="189"/>
      <c r="E8" s="190"/>
    </row>
    <row r="9" spans="1:5" ht="20.100000000000001" customHeight="1">
      <c r="A9" s="11" t="s">
        <v>251</v>
      </c>
      <c r="B9" s="188">
        <v>6804608.4100000001</v>
      </c>
      <c r="C9" s="188">
        <v>9387354.6199999992</v>
      </c>
      <c r="D9" s="188">
        <f>Expense!L81</f>
        <v>12229898.326506298</v>
      </c>
      <c r="E9" s="191">
        <f>D9-C9</f>
        <v>2842543.7065062989</v>
      </c>
    </row>
    <row r="10" spans="1:5" ht="20.100000000000001" customHeight="1">
      <c r="A10" s="11" t="s">
        <v>252</v>
      </c>
      <c r="B10" s="188">
        <v>1467769.25</v>
      </c>
      <c r="C10" s="188">
        <v>962000</v>
      </c>
      <c r="D10" s="188">
        <f>Expense!L83</f>
        <v>1400000</v>
      </c>
      <c r="E10" s="191">
        <f t="shared" ref="E10:E11" si="0">D10-C10</f>
        <v>438000</v>
      </c>
    </row>
    <row r="11" spans="1:5" ht="20.100000000000001" customHeight="1">
      <c r="A11" s="11" t="s">
        <v>253</v>
      </c>
      <c r="B11" s="192">
        <v>1188369.9099999999</v>
      </c>
      <c r="C11" s="192">
        <v>1108483.8400000001</v>
      </c>
      <c r="D11" s="186">
        <f>C11*1.03</f>
        <v>1141738.3552000001</v>
      </c>
      <c r="E11" s="191">
        <f t="shared" si="0"/>
        <v>33254.515200000023</v>
      </c>
    </row>
    <row r="12" spans="1:5" ht="20.100000000000001" customHeight="1">
      <c r="A12" s="11" t="s">
        <v>254</v>
      </c>
      <c r="B12" s="282">
        <f>SUM(B9:B11)</f>
        <v>9460747.5700000003</v>
      </c>
      <c r="C12" s="282">
        <f>SUM(C9:C11)</f>
        <v>11457838.459999999</v>
      </c>
      <c r="D12" s="282">
        <f>SUM(D9:D11)</f>
        <v>14771636.681706298</v>
      </c>
      <c r="E12" s="282">
        <f>SUM(E9:E11)</f>
        <v>3313798.2217062991</v>
      </c>
    </row>
    <row r="13" spans="1:5" ht="20.100000000000001" customHeight="1">
      <c r="A13" s="11"/>
      <c r="B13" s="192"/>
      <c r="C13" s="192"/>
      <c r="D13" s="192"/>
      <c r="E13" s="190"/>
    </row>
    <row r="14" spans="1:5" ht="20.100000000000001" customHeight="1">
      <c r="A14" s="11" t="s">
        <v>255</v>
      </c>
      <c r="B14" s="188">
        <f t="shared" ref="B14:C14" si="1">B7-B12</f>
        <v>5413585.3399999999</v>
      </c>
      <c r="C14" s="188">
        <f t="shared" si="1"/>
        <v>4201725.540000001</v>
      </c>
      <c r="D14" s="188">
        <f>D7-D12</f>
        <v>5773831.6760437004</v>
      </c>
      <c r="E14" s="188">
        <f t="shared" ref="E14" si="2">E7-E12</f>
        <v>1572106.1360436995</v>
      </c>
    </row>
    <row r="15" spans="1:5" ht="20.100000000000001" customHeight="1">
      <c r="A15" s="11" t="s">
        <v>256</v>
      </c>
      <c r="B15" s="188"/>
      <c r="C15" s="188"/>
      <c r="D15" s="188"/>
      <c r="E15" s="190"/>
    </row>
    <row r="16" spans="1:5" ht="20.100000000000001" customHeight="1">
      <c r="A16" s="11" t="s">
        <v>257</v>
      </c>
      <c r="B16" s="188">
        <v>35954.050000000003</v>
      </c>
      <c r="C16" s="188">
        <v>15000</v>
      </c>
      <c r="D16" s="188">
        <v>45000</v>
      </c>
      <c r="E16" s="191">
        <f>D16-C16</f>
        <v>30000</v>
      </c>
    </row>
    <row r="17" spans="1:5" ht="20.100000000000001" customHeight="1">
      <c r="A17" s="11"/>
      <c r="B17" s="186"/>
      <c r="C17" s="186"/>
      <c r="D17" s="186"/>
      <c r="E17" s="187"/>
    </row>
    <row r="18" spans="1:5" ht="20.100000000000001" customHeight="1">
      <c r="A18" s="11" t="s">
        <v>258</v>
      </c>
      <c r="B18" s="281">
        <f>SUM(B14:B17)</f>
        <v>5449539.3899999997</v>
      </c>
      <c r="C18" s="281">
        <f>SUM(C14:C17)</f>
        <v>4216725.540000001</v>
      </c>
      <c r="D18" s="281">
        <f>SUM(D14:D17)</f>
        <v>5818831.6760437004</v>
      </c>
      <c r="E18" s="281">
        <f>SUM(E14:E17)</f>
        <v>1602106.1360436995</v>
      </c>
    </row>
    <row r="19" spans="1:5" ht="20.100000000000001" customHeight="1">
      <c r="A19" s="11" t="s">
        <v>259</v>
      </c>
      <c r="B19" s="188"/>
      <c r="C19" s="188"/>
      <c r="D19" s="188"/>
      <c r="E19" s="190"/>
    </row>
    <row r="20" spans="1:5" ht="20.100000000000001" customHeight="1">
      <c r="A20" s="11" t="s">
        <v>260</v>
      </c>
      <c r="B20" s="193">
        <v>353248.71</v>
      </c>
      <c r="C20" s="188">
        <v>835070.4</v>
      </c>
      <c r="D20" s="188">
        <v>500000</v>
      </c>
      <c r="E20" s="191">
        <f t="shared" ref="E20:E23" si="3">D20-C20</f>
        <v>-335070.40000000002</v>
      </c>
    </row>
    <row r="21" spans="1:5" ht="20.100000000000001" customHeight="1">
      <c r="A21" s="11" t="s">
        <v>357</v>
      </c>
      <c r="B21" s="194"/>
      <c r="C21" s="188">
        <v>600000</v>
      </c>
      <c r="D21" s="188"/>
      <c r="E21" s="191">
        <f t="shared" si="3"/>
        <v>-600000</v>
      </c>
    </row>
    <row r="22" spans="1:5" ht="20.100000000000001" customHeight="1">
      <c r="A22" s="11" t="s">
        <v>261</v>
      </c>
      <c r="B22" s="188"/>
      <c r="C22" s="188"/>
      <c r="D22" s="188"/>
      <c r="E22" s="191">
        <f t="shared" si="3"/>
        <v>0</v>
      </c>
    </row>
    <row r="23" spans="1:5" ht="20.100000000000001" customHeight="1">
      <c r="A23" s="11" t="s">
        <v>262</v>
      </c>
      <c r="B23" s="192">
        <v>268771.36</v>
      </c>
      <c r="C23" s="192">
        <v>312266.46000000002</v>
      </c>
      <c r="D23" s="192">
        <f>Receipts!N11*0.02</f>
        <v>396873.89170630003</v>
      </c>
      <c r="E23" s="191">
        <f t="shared" si="3"/>
        <v>84607.431706300005</v>
      </c>
    </row>
    <row r="24" spans="1:5" ht="20.100000000000001" customHeight="1" thickBot="1">
      <c r="A24" s="11" t="s">
        <v>263</v>
      </c>
      <c r="B24" s="280">
        <f>B18-(B20+B21+B23)</f>
        <v>4827519.3199999994</v>
      </c>
      <c r="C24" s="280">
        <f>C18-(C20+C21+C23)</f>
        <v>2469388.6800000011</v>
      </c>
      <c r="D24" s="280">
        <f>D18-(D20+D21+D23)</f>
        <v>4921957.7843374005</v>
      </c>
      <c r="E24" s="280">
        <f>E18-(E20+E21+E23)</f>
        <v>2452569.1043373994</v>
      </c>
    </row>
    <row r="25" spans="1:5" ht="16.5" thickTop="1">
      <c r="A25" s="19"/>
      <c r="B25" s="19"/>
      <c r="C25" s="19"/>
      <c r="D25" s="19"/>
      <c r="E25" s="19"/>
    </row>
    <row r="26" spans="1:5" ht="15.75">
      <c r="A26" s="19"/>
      <c r="B26" s="19"/>
      <c r="C26" s="19"/>
      <c r="D26" s="19"/>
      <c r="E26" s="19"/>
    </row>
    <row r="27" spans="1:5" ht="15.75">
      <c r="A27" s="19"/>
      <c r="B27" s="19"/>
      <c r="C27" s="19"/>
      <c r="D27" s="19"/>
      <c r="E27" s="19"/>
    </row>
    <row r="28" spans="1:5" ht="15.75">
      <c r="A28" s="19"/>
      <c r="B28" s="19"/>
      <c r="C28" s="19"/>
      <c r="D28" s="19"/>
      <c r="E28" s="19"/>
    </row>
    <row r="29" spans="1:5" ht="15.75">
      <c r="A29" s="19" t="s">
        <v>264</v>
      </c>
      <c r="B29" s="19"/>
      <c r="C29" s="19" t="s">
        <v>112</v>
      </c>
      <c r="D29" s="19"/>
      <c r="E29" s="19"/>
    </row>
    <row r="30" spans="1:5" ht="15.75">
      <c r="A30" s="19"/>
      <c r="B30" s="19"/>
      <c r="C30" s="19"/>
      <c r="D30" s="19"/>
      <c r="E30" s="19"/>
    </row>
    <row r="31" spans="1:5" ht="15.75">
      <c r="A31" s="19"/>
      <c r="B31" s="19"/>
      <c r="C31" s="19"/>
      <c r="D31" s="19"/>
      <c r="E31" s="19"/>
    </row>
    <row r="32" spans="1:5" ht="15.75">
      <c r="A32" s="67" t="s">
        <v>72</v>
      </c>
      <c r="B32" s="19"/>
      <c r="C32" s="67" t="s">
        <v>39</v>
      </c>
      <c r="D32" s="19"/>
      <c r="E32" s="19"/>
    </row>
    <row r="33" spans="1:5" ht="15.75">
      <c r="A33" t="s">
        <v>755</v>
      </c>
      <c r="B33" s="19"/>
      <c r="C33" s="10" t="s">
        <v>756</v>
      </c>
      <c r="D33" s="19"/>
      <c r="E33" s="19"/>
    </row>
    <row r="34" spans="1:5" ht="15.75">
      <c r="A34" s="19"/>
      <c r="B34" s="19"/>
      <c r="C34" s="19"/>
      <c r="D34" s="19"/>
      <c r="E34" s="19"/>
    </row>
    <row r="35" spans="1:5" ht="15.75">
      <c r="A35" s="19"/>
      <c r="B35" s="19"/>
      <c r="C35" s="19"/>
      <c r="D35" s="19"/>
      <c r="E35" s="19"/>
    </row>
    <row r="36" spans="1:5" ht="15.75">
      <c r="A36" s="19" t="s">
        <v>265</v>
      </c>
      <c r="B36" s="19" t="s">
        <v>561</v>
      </c>
      <c r="C36" s="19"/>
      <c r="D36" s="19"/>
      <c r="E36" s="19"/>
    </row>
    <row r="37" spans="1:5" ht="15.75">
      <c r="C37" s="19"/>
      <c r="D37" s="19"/>
      <c r="E37" s="19"/>
    </row>
    <row r="38" spans="1:5" ht="15.75">
      <c r="A38" s="19" t="s">
        <v>266</v>
      </c>
      <c r="B38" s="19"/>
      <c r="C38" s="19"/>
      <c r="D38" s="19"/>
      <c r="E38" s="19"/>
    </row>
    <row r="39" spans="1:5" ht="15.75">
      <c r="A39" s="19"/>
      <c r="B39" s="19"/>
      <c r="C39" s="19"/>
      <c r="D39" s="19"/>
      <c r="E39" s="19"/>
    </row>
    <row r="40" spans="1:5">
      <c r="B40" s="2" t="s">
        <v>714</v>
      </c>
    </row>
    <row r="41" spans="1:5">
      <c r="B41" s="10" t="s">
        <v>560</v>
      </c>
    </row>
    <row r="43" spans="1:5">
      <c r="A43" s="10"/>
    </row>
  </sheetData>
  <mergeCells count="3">
    <mergeCell ref="A1:E1"/>
    <mergeCell ref="A2:E2"/>
    <mergeCell ref="A3:E3"/>
  </mergeCells>
  <pageMargins left="0.6" right="0.6" top="0.75" bottom="1.75" header="0.3" footer="0.3"/>
  <pageSetup paperSize="5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A20" sqref="A20"/>
    </sheetView>
  </sheetViews>
  <sheetFormatPr defaultRowHeight="15"/>
  <cols>
    <col min="1" max="1" width="50.28515625" customWidth="1"/>
    <col min="2" max="2" width="16.85546875" hidden="1" customWidth="1"/>
    <col min="3" max="3" width="15.85546875" customWidth="1"/>
    <col min="5" max="5" width="13.28515625" bestFit="1" customWidth="1"/>
  </cols>
  <sheetData>
    <row r="1" spans="1:9" ht="15.75">
      <c r="A1" s="342" t="s">
        <v>0</v>
      </c>
      <c r="B1" s="342"/>
      <c r="C1" s="342"/>
    </row>
    <row r="2" spans="1:9">
      <c r="A2" s="362" t="s">
        <v>736</v>
      </c>
      <c r="B2" s="362"/>
      <c r="C2" s="362"/>
    </row>
    <row r="3" spans="1:9">
      <c r="A3" s="362" t="s">
        <v>567</v>
      </c>
      <c r="B3" s="362"/>
      <c r="C3" s="362"/>
    </row>
    <row r="4" spans="1:9">
      <c r="C4" s="3" t="s">
        <v>171</v>
      </c>
    </row>
    <row r="5" spans="1:9">
      <c r="B5" s="3" t="s">
        <v>170</v>
      </c>
      <c r="C5" s="3" t="s">
        <v>283</v>
      </c>
    </row>
    <row r="6" spans="1:9">
      <c r="A6" s="2"/>
      <c r="B6" s="3">
        <v>2014</v>
      </c>
      <c r="C6" s="3">
        <v>2016</v>
      </c>
    </row>
    <row r="7" spans="1:9">
      <c r="A7" s="2"/>
      <c r="B7" s="255"/>
      <c r="C7" s="255"/>
    </row>
    <row r="8" spans="1:9" ht="21.95" customHeight="1">
      <c r="A8" s="328" t="s">
        <v>683</v>
      </c>
      <c r="B8" s="329"/>
      <c r="C8" s="329"/>
    </row>
    <row r="9" spans="1:9" ht="21.95" customHeight="1">
      <c r="A9" s="328" t="s">
        <v>684</v>
      </c>
      <c r="B9" s="329"/>
      <c r="C9" s="329">
        <f>APP!E14</f>
        <v>41500</v>
      </c>
    </row>
    <row r="10" spans="1:9" ht="21.95" customHeight="1">
      <c r="A10" s="328" t="s">
        <v>685</v>
      </c>
      <c r="B10" s="329"/>
      <c r="C10" s="329">
        <f>APP!E65</f>
        <v>58846</v>
      </c>
    </row>
    <row r="11" spans="1:9" ht="21.95" customHeight="1">
      <c r="A11" s="328" t="s">
        <v>686</v>
      </c>
      <c r="B11" s="329"/>
      <c r="C11" s="329"/>
    </row>
    <row r="12" spans="1:9" ht="21.95" customHeight="1">
      <c r="A12" s="328" t="s">
        <v>684</v>
      </c>
      <c r="B12" s="329"/>
      <c r="C12" s="329">
        <f>APP!E74</f>
        <v>18200</v>
      </c>
      <c r="I12" s="226"/>
    </row>
    <row r="13" spans="1:9" ht="21.95" customHeight="1">
      <c r="A13" s="328" t="s">
        <v>685</v>
      </c>
      <c r="B13" s="329"/>
      <c r="C13" s="329">
        <f>APP!E113</f>
        <v>42953</v>
      </c>
      <c r="I13" s="226"/>
    </row>
    <row r="14" spans="1:9" ht="21.95" customHeight="1">
      <c r="A14" s="328" t="s">
        <v>687</v>
      </c>
      <c r="B14" s="329"/>
      <c r="C14" s="329"/>
      <c r="I14" s="226"/>
    </row>
    <row r="15" spans="1:9" ht="21.95" customHeight="1">
      <c r="A15" s="328" t="s">
        <v>684</v>
      </c>
      <c r="B15" s="329"/>
      <c r="C15" s="329">
        <f>APP!E124</f>
        <v>25900</v>
      </c>
      <c r="E15" s="226"/>
      <c r="I15" s="226"/>
    </row>
    <row r="16" spans="1:9" ht="21.95" customHeight="1">
      <c r="A16" s="328" t="s">
        <v>685</v>
      </c>
      <c r="B16" s="329"/>
      <c r="C16" s="329">
        <f>APP!E151</f>
        <v>15212</v>
      </c>
      <c r="I16" s="226"/>
    </row>
    <row r="17" spans="1:9" ht="21.95" customHeight="1">
      <c r="A17" s="336" t="s">
        <v>690</v>
      </c>
      <c r="B17" s="329"/>
      <c r="C17" s="329">
        <f>APP!E156</f>
        <v>70000</v>
      </c>
      <c r="I17" s="226"/>
    </row>
    <row r="18" spans="1:9" ht="21.95" customHeight="1">
      <c r="A18" s="336" t="s">
        <v>688</v>
      </c>
      <c r="B18" s="329"/>
      <c r="C18" s="329">
        <f>APP!E167</f>
        <v>21695</v>
      </c>
      <c r="I18" s="226"/>
    </row>
    <row r="19" spans="1:9" ht="21.95" customHeight="1">
      <c r="A19" s="336" t="s">
        <v>691</v>
      </c>
      <c r="B19" s="329"/>
      <c r="C19" s="329">
        <f>APP!E186</f>
        <v>263194</v>
      </c>
      <c r="I19" s="226"/>
    </row>
    <row r="20" spans="1:9" ht="21.95" customHeight="1">
      <c r="A20" s="336" t="s">
        <v>692</v>
      </c>
      <c r="B20" s="329"/>
      <c r="C20" s="329">
        <f>APP!E196</f>
        <v>2105160</v>
      </c>
    </row>
    <row r="21" spans="1:9" ht="21.95" customHeight="1">
      <c r="A21" s="336" t="s">
        <v>520</v>
      </c>
      <c r="B21" s="328"/>
      <c r="C21" s="330">
        <f>APP!E229</f>
        <v>249658</v>
      </c>
    </row>
    <row r="22" spans="1:9" ht="21.95" customHeight="1">
      <c r="A22" s="336" t="s">
        <v>521</v>
      </c>
      <c r="B22" s="328"/>
      <c r="C22" s="330">
        <f>APP!E274</f>
        <v>1349350</v>
      </c>
    </row>
    <row r="23" spans="1:9" ht="21.95" customHeight="1">
      <c r="A23" s="336" t="s">
        <v>522</v>
      </c>
      <c r="B23" s="329"/>
      <c r="C23" s="329">
        <f>APP!E357</f>
        <v>1335837</v>
      </c>
    </row>
    <row r="24" spans="1:9" ht="21.95" customHeight="1">
      <c r="A24" s="336" t="s">
        <v>693</v>
      </c>
      <c r="B24" s="329">
        <f>SUM(B11+B19+B23)</f>
        <v>0</v>
      </c>
      <c r="C24" s="329">
        <f>APP!E363</f>
        <v>131360</v>
      </c>
    </row>
    <row r="25" spans="1:9" ht="15.75">
      <c r="A25" s="332"/>
      <c r="B25" s="331"/>
      <c r="C25" s="331"/>
    </row>
    <row r="26" spans="1:9" ht="15.75">
      <c r="A26" s="333" t="s">
        <v>694</v>
      </c>
      <c r="B26" s="334"/>
      <c r="C26" s="335">
        <f>SUM(C9:C24)</f>
        <v>5728865</v>
      </c>
    </row>
    <row r="27" spans="1:9">
      <c r="A27" s="113"/>
      <c r="B27" s="40"/>
      <c r="C27" s="40"/>
    </row>
    <row r="29" spans="1:9">
      <c r="A29" s="2" t="s">
        <v>268</v>
      </c>
      <c r="B29" t="s">
        <v>112</v>
      </c>
    </row>
    <row r="31" spans="1:9">
      <c r="A31" s="2" t="s">
        <v>269</v>
      </c>
      <c r="B31" s="161" t="s">
        <v>39</v>
      </c>
    </row>
    <row r="32" spans="1:9">
      <c r="A32" t="s">
        <v>755</v>
      </c>
      <c r="B32" t="s">
        <v>167</v>
      </c>
    </row>
    <row r="35" spans="1:1">
      <c r="A35" t="s">
        <v>270</v>
      </c>
    </row>
    <row r="36" spans="1:1">
      <c r="A36" t="s">
        <v>271</v>
      </c>
    </row>
    <row r="38" spans="1:1">
      <c r="A38" s="2" t="s">
        <v>706</v>
      </c>
    </row>
    <row r="39" spans="1:1">
      <c r="A39" s="10" t="s">
        <v>272</v>
      </c>
    </row>
    <row r="41" spans="1:1">
      <c r="A41" s="10"/>
    </row>
  </sheetData>
  <mergeCells count="3">
    <mergeCell ref="A1:C1"/>
    <mergeCell ref="A2:C2"/>
    <mergeCell ref="A3:C3"/>
  </mergeCells>
  <pageMargins left="0.7" right="0.7" top="0.75" bottom="1.75" header="0.3" footer="0.3"/>
  <pageSetup paperSize="5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F10" sqref="F10"/>
    </sheetView>
  </sheetViews>
  <sheetFormatPr defaultRowHeight="15"/>
  <cols>
    <col min="1" max="1" width="18.42578125" customWidth="1"/>
    <col min="2" max="2" width="17.7109375" customWidth="1"/>
    <col min="3" max="3" width="17.5703125" customWidth="1"/>
    <col min="4" max="4" width="20.140625" customWidth="1"/>
    <col min="5" max="5" width="15.140625" customWidth="1"/>
    <col min="7" max="7" width="7.7109375" customWidth="1"/>
    <col min="8" max="8" width="9.140625" customWidth="1"/>
    <col min="9" max="9" width="23.5703125" customWidth="1"/>
    <col min="10" max="10" width="13.140625" customWidth="1"/>
  </cols>
  <sheetData>
    <row r="1" spans="1:10" ht="26.25">
      <c r="A1" s="363" t="s">
        <v>219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ht="6" customHeight="1"/>
    <row r="3" spans="1:10">
      <c r="A3" s="364" t="s">
        <v>768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ht="7.5" customHeight="1"/>
    <row r="5" spans="1:10" ht="26.25">
      <c r="A5" s="269" t="s">
        <v>528</v>
      </c>
      <c r="B5" s="269" t="s">
        <v>529</v>
      </c>
      <c r="C5" s="270" t="s">
        <v>530</v>
      </c>
      <c r="D5" s="270" t="s">
        <v>531</v>
      </c>
      <c r="E5" s="271" t="s">
        <v>532</v>
      </c>
      <c r="F5" s="270" t="s">
        <v>533</v>
      </c>
      <c r="G5" s="270" t="s">
        <v>534</v>
      </c>
      <c r="H5" s="270" t="s">
        <v>535</v>
      </c>
      <c r="I5" s="271" t="s">
        <v>536</v>
      </c>
      <c r="J5" s="270" t="s">
        <v>283</v>
      </c>
    </row>
    <row r="7" spans="1:10" ht="93.75" customHeight="1">
      <c r="A7" s="272" t="s">
        <v>770</v>
      </c>
      <c r="B7" s="273" t="s">
        <v>772</v>
      </c>
      <c r="C7" s="273" t="s">
        <v>771</v>
      </c>
      <c r="D7" s="273" t="s">
        <v>773</v>
      </c>
      <c r="E7" s="273" t="s">
        <v>537</v>
      </c>
      <c r="F7" s="273" t="s">
        <v>774</v>
      </c>
      <c r="G7" s="273" t="s">
        <v>775</v>
      </c>
      <c r="H7" s="273" t="s">
        <v>769</v>
      </c>
      <c r="I7" s="273" t="s">
        <v>776</v>
      </c>
      <c r="J7" s="274">
        <v>100000</v>
      </c>
    </row>
    <row r="8" spans="1:10" ht="8.25" customHeight="1">
      <c r="C8" s="275"/>
      <c r="D8" s="275"/>
      <c r="E8" s="275"/>
      <c r="F8" s="275"/>
      <c r="G8" s="275"/>
      <c r="H8" s="275"/>
      <c r="I8" s="275"/>
      <c r="J8" s="275"/>
    </row>
    <row r="9" spans="1:10" ht="93.75" customHeight="1">
      <c r="A9" s="272" t="s">
        <v>777</v>
      </c>
      <c r="B9" s="273" t="s">
        <v>779</v>
      </c>
      <c r="C9" s="273" t="s">
        <v>778</v>
      </c>
      <c r="D9" s="273" t="s">
        <v>780</v>
      </c>
      <c r="E9" s="273" t="s">
        <v>537</v>
      </c>
      <c r="F9" s="273" t="s">
        <v>781</v>
      </c>
      <c r="G9" s="273" t="s">
        <v>775</v>
      </c>
      <c r="H9" s="273" t="s">
        <v>769</v>
      </c>
      <c r="I9" s="273" t="s">
        <v>776</v>
      </c>
      <c r="J9" s="274">
        <v>100000</v>
      </c>
    </row>
    <row r="10" spans="1:10" ht="7.5" customHeight="1">
      <c r="B10" s="275"/>
      <c r="C10" s="275"/>
      <c r="D10" s="275"/>
      <c r="E10" s="275"/>
      <c r="F10" s="275"/>
      <c r="G10" s="275"/>
      <c r="H10" s="275"/>
      <c r="I10" s="275"/>
      <c r="J10" s="275"/>
    </row>
    <row r="11" spans="1:10" ht="65.25" customHeight="1">
      <c r="A11" s="277" t="s">
        <v>539</v>
      </c>
      <c r="B11" s="273" t="s">
        <v>540</v>
      </c>
      <c r="C11" s="273" t="s">
        <v>541</v>
      </c>
      <c r="D11" s="273" t="s">
        <v>542</v>
      </c>
      <c r="E11" s="273" t="s">
        <v>543</v>
      </c>
      <c r="F11" s="273" t="s">
        <v>544</v>
      </c>
      <c r="G11" s="273" t="s">
        <v>545</v>
      </c>
      <c r="H11" s="273" t="s">
        <v>538</v>
      </c>
      <c r="I11" s="273" t="s">
        <v>546</v>
      </c>
      <c r="J11" s="276">
        <v>75000</v>
      </c>
    </row>
    <row r="12" spans="1:10" ht="6.75" customHeight="1"/>
    <row r="13" spans="1:10" ht="40.5" customHeight="1">
      <c r="A13" s="277" t="s">
        <v>547</v>
      </c>
      <c r="B13" s="278" t="s">
        <v>762</v>
      </c>
      <c r="C13" s="278" t="s">
        <v>548</v>
      </c>
      <c r="D13" s="278" t="s">
        <v>549</v>
      </c>
      <c r="E13" s="278" t="s">
        <v>763</v>
      </c>
      <c r="F13" s="273" t="s">
        <v>557</v>
      </c>
      <c r="G13" s="278" t="s">
        <v>550</v>
      </c>
      <c r="H13" s="273" t="s">
        <v>538</v>
      </c>
      <c r="I13" s="278" t="s">
        <v>551</v>
      </c>
      <c r="J13" s="279">
        <v>192644.93</v>
      </c>
    </row>
    <row r="14" spans="1:10" ht="8.25" customHeight="1"/>
    <row r="15" spans="1:10" ht="46.5" customHeight="1">
      <c r="A15" s="277" t="s">
        <v>713</v>
      </c>
      <c r="B15" s="278" t="s">
        <v>707</v>
      </c>
      <c r="C15" s="278" t="s">
        <v>708</v>
      </c>
      <c r="D15" s="278" t="s">
        <v>709</v>
      </c>
      <c r="E15" s="278" t="s">
        <v>710</v>
      </c>
      <c r="F15" s="273" t="s">
        <v>711</v>
      </c>
      <c r="G15" s="278" t="s">
        <v>545</v>
      </c>
      <c r="H15" s="273" t="s">
        <v>686</v>
      </c>
      <c r="I15" s="278" t="s">
        <v>712</v>
      </c>
      <c r="J15" s="279">
        <v>498700</v>
      </c>
    </row>
    <row r="16" spans="1:10">
      <c r="I16" t="s">
        <v>364</v>
      </c>
      <c r="J16" s="8">
        <f>SUM(J7:J15)</f>
        <v>966344.92999999993</v>
      </c>
    </row>
    <row r="17" spans="1:10" ht="6" customHeight="1"/>
    <row r="18" spans="1:10">
      <c r="A18" t="s">
        <v>264</v>
      </c>
      <c r="C18" t="s">
        <v>517</v>
      </c>
      <c r="E18" t="s">
        <v>564</v>
      </c>
    </row>
    <row r="19" spans="1:10">
      <c r="B19" s="161" t="s">
        <v>562</v>
      </c>
      <c r="D19" s="161" t="s">
        <v>519</v>
      </c>
      <c r="H19" s="161" t="s">
        <v>716</v>
      </c>
      <c r="J19" s="226"/>
    </row>
    <row r="20" spans="1:10">
      <c r="B20" t="s">
        <v>563</v>
      </c>
      <c r="D20" s="10" t="s">
        <v>756</v>
      </c>
      <c r="H20" t="s">
        <v>565</v>
      </c>
    </row>
    <row r="24" spans="1:10">
      <c r="J24" s="226"/>
    </row>
  </sheetData>
  <mergeCells count="2">
    <mergeCell ref="A1:J1"/>
    <mergeCell ref="A3:J3"/>
  </mergeCells>
  <pageMargins left="0.5" right="1.5" top="0.75" bottom="0.75" header="0.3" footer="0.3"/>
  <pageSetup paperSize="5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5"/>
  <sheetViews>
    <sheetView topLeftCell="A356" workbookViewId="0">
      <selection activeCell="A280" sqref="A280"/>
    </sheetView>
  </sheetViews>
  <sheetFormatPr defaultRowHeight="15"/>
  <cols>
    <col min="1" max="1" width="25.5703125" customWidth="1"/>
    <col min="2" max="2" width="14.5703125" customWidth="1"/>
    <col min="3" max="3" width="7" customWidth="1"/>
    <col min="4" max="4" width="7.140625" customWidth="1"/>
    <col min="5" max="5" width="15.7109375" customWidth="1"/>
    <col min="6" max="6" width="6.7109375" customWidth="1"/>
    <col min="7" max="7" width="14.42578125" customWidth="1"/>
    <col min="8" max="8" width="6.85546875" customWidth="1"/>
    <col min="9" max="9" width="15.140625" customWidth="1"/>
    <col min="10" max="10" width="7" customWidth="1"/>
    <col min="11" max="11" width="14.7109375" customWidth="1"/>
    <col min="12" max="12" width="6.5703125" customWidth="1"/>
    <col min="13" max="13" width="14.7109375" customWidth="1"/>
  </cols>
  <sheetData>
    <row r="1" spans="1:13" ht="26.25">
      <c r="A1" s="372" t="s">
        <v>358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ht="11.25" customHeight="1">
      <c r="A2" s="373" t="s">
        <v>576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3" ht="15.75">
      <c r="A3" s="287" t="s">
        <v>577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9.7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</row>
    <row r="5" spans="1:13" ht="12.75" customHeight="1">
      <c r="A5" s="287" t="s">
        <v>359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ht="15.75">
      <c r="A6" s="369" t="s">
        <v>360</v>
      </c>
      <c r="B6" s="369" t="s">
        <v>361</v>
      </c>
      <c r="C6" s="369" t="s">
        <v>362</v>
      </c>
      <c r="D6" s="369" t="s">
        <v>363</v>
      </c>
      <c r="E6" s="369" t="s">
        <v>364</v>
      </c>
      <c r="F6" s="365" t="s">
        <v>365</v>
      </c>
      <c r="G6" s="365"/>
      <c r="H6" s="365" t="s">
        <v>366</v>
      </c>
      <c r="I6" s="365"/>
      <c r="J6" s="365" t="s">
        <v>367</v>
      </c>
      <c r="K6" s="365"/>
      <c r="L6" s="365" t="s">
        <v>368</v>
      </c>
      <c r="M6" s="365"/>
    </row>
    <row r="7" spans="1:13" ht="15.75">
      <c r="A7" s="370"/>
      <c r="B7" s="370"/>
      <c r="C7" s="370"/>
      <c r="D7" s="370"/>
      <c r="E7" s="370"/>
      <c r="F7" s="289" t="s">
        <v>369</v>
      </c>
      <c r="G7" s="289" t="s">
        <v>370</v>
      </c>
      <c r="H7" s="289" t="s">
        <v>369</v>
      </c>
      <c r="I7" s="289" t="s">
        <v>370</v>
      </c>
      <c r="J7" s="289" t="s">
        <v>369</v>
      </c>
      <c r="K7" s="289" t="s">
        <v>370</v>
      </c>
      <c r="L7" s="289" t="s">
        <v>369</v>
      </c>
      <c r="M7" s="289" t="s">
        <v>370</v>
      </c>
    </row>
    <row r="8" spans="1:13" ht="15.75">
      <c r="A8" s="290" t="s">
        <v>371</v>
      </c>
      <c r="B8" s="291">
        <v>15000</v>
      </c>
      <c r="C8" s="290">
        <v>1</v>
      </c>
      <c r="D8" s="290" t="s">
        <v>372</v>
      </c>
      <c r="E8" s="291">
        <f>B8*C8</f>
        <v>15000</v>
      </c>
      <c r="F8" s="290">
        <v>1</v>
      </c>
      <c r="G8" s="291">
        <f>B8*F8</f>
        <v>15000</v>
      </c>
      <c r="H8" s="290"/>
      <c r="I8" s="291">
        <f>B8*H8</f>
        <v>0</v>
      </c>
      <c r="J8" s="290"/>
      <c r="K8" s="291">
        <f t="shared" ref="K8:K13" si="0">B8*J8</f>
        <v>0</v>
      </c>
      <c r="L8" s="290"/>
      <c r="M8" s="291">
        <f t="shared" ref="M8:M13" si="1">B8*L8</f>
        <v>0</v>
      </c>
    </row>
    <row r="9" spans="1:13" ht="15.75">
      <c r="A9" s="290" t="s">
        <v>578</v>
      </c>
      <c r="B9" s="291">
        <v>5000</v>
      </c>
      <c r="C9" s="290">
        <v>1</v>
      </c>
      <c r="D9" s="290" t="s">
        <v>378</v>
      </c>
      <c r="E9" s="291">
        <f t="shared" ref="E9:E13" si="2">B9*C9</f>
        <v>5000</v>
      </c>
      <c r="F9" s="290">
        <v>1</v>
      </c>
      <c r="G9" s="291">
        <f t="shared" ref="G9:G13" si="3">B9*F9</f>
        <v>5000</v>
      </c>
      <c r="H9" s="290"/>
      <c r="I9" s="291">
        <f t="shared" ref="I9:I13" si="4">B9*H9</f>
        <v>0</v>
      </c>
      <c r="J9" s="290"/>
      <c r="K9" s="291">
        <f t="shared" si="0"/>
        <v>0</v>
      </c>
      <c r="L9" s="290"/>
      <c r="M9" s="291">
        <f t="shared" si="1"/>
        <v>0</v>
      </c>
    </row>
    <row r="10" spans="1:13" ht="15.75">
      <c r="A10" s="290" t="s">
        <v>373</v>
      </c>
      <c r="B10" s="291">
        <v>2500</v>
      </c>
      <c r="C10" s="290">
        <v>1</v>
      </c>
      <c r="D10" s="290" t="s">
        <v>374</v>
      </c>
      <c r="E10" s="291">
        <f t="shared" si="2"/>
        <v>2500</v>
      </c>
      <c r="F10" s="290">
        <v>1</v>
      </c>
      <c r="G10" s="291">
        <f t="shared" si="3"/>
        <v>2500</v>
      </c>
      <c r="H10" s="290"/>
      <c r="I10" s="291">
        <f t="shared" si="4"/>
        <v>0</v>
      </c>
      <c r="J10" s="290"/>
      <c r="K10" s="291">
        <f t="shared" si="0"/>
        <v>0</v>
      </c>
      <c r="L10" s="290"/>
      <c r="M10" s="291">
        <f t="shared" si="1"/>
        <v>0</v>
      </c>
    </row>
    <row r="11" spans="1:13" ht="15.75">
      <c r="A11" s="290" t="s">
        <v>375</v>
      </c>
      <c r="B11" s="291">
        <v>10000</v>
      </c>
      <c r="C11" s="290">
        <v>1</v>
      </c>
      <c r="D11" s="290" t="s">
        <v>376</v>
      </c>
      <c r="E11" s="291">
        <f t="shared" si="2"/>
        <v>10000</v>
      </c>
      <c r="F11" s="290"/>
      <c r="G11" s="291">
        <f t="shared" si="3"/>
        <v>0</v>
      </c>
      <c r="H11" s="290"/>
      <c r="I11" s="291">
        <f t="shared" si="4"/>
        <v>0</v>
      </c>
      <c r="J11" s="290">
        <v>1</v>
      </c>
      <c r="K11" s="291">
        <f t="shared" si="0"/>
        <v>10000</v>
      </c>
      <c r="L11" s="290"/>
      <c r="M11" s="291">
        <f t="shared" si="1"/>
        <v>0</v>
      </c>
    </row>
    <row r="12" spans="1:13" ht="15.75">
      <c r="A12" s="290" t="s">
        <v>579</v>
      </c>
      <c r="B12" s="291">
        <v>4800</v>
      </c>
      <c r="C12" s="290">
        <v>1</v>
      </c>
      <c r="D12" s="290" t="s">
        <v>376</v>
      </c>
      <c r="E12" s="291">
        <f t="shared" si="2"/>
        <v>4800</v>
      </c>
      <c r="F12" s="290">
        <v>1</v>
      </c>
      <c r="G12" s="291">
        <f t="shared" si="3"/>
        <v>4800</v>
      </c>
      <c r="H12" s="290"/>
      <c r="I12" s="291">
        <f t="shared" si="4"/>
        <v>0</v>
      </c>
      <c r="J12" s="290"/>
      <c r="K12" s="291">
        <f t="shared" si="0"/>
        <v>0</v>
      </c>
      <c r="L12" s="290"/>
      <c r="M12" s="291">
        <f t="shared" si="1"/>
        <v>0</v>
      </c>
    </row>
    <row r="13" spans="1:13" ht="15.75">
      <c r="A13" s="290" t="s">
        <v>580</v>
      </c>
      <c r="B13" s="291">
        <v>4200</v>
      </c>
      <c r="C13" s="290">
        <v>1</v>
      </c>
      <c r="D13" s="290" t="s">
        <v>376</v>
      </c>
      <c r="E13" s="291">
        <f t="shared" si="2"/>
        <v>4200</v>
      </c>
      <c r="F13" s="290">
        <v>1</v>
      </c>
      <c r="G13" s="291">
        <f t="shared" si="3"/>
        <v>4200</v>
      </c>
      <c r="H13" s="290"/>
      <c r="I13" s="291">
        <f t="shared" si="4"/>
        <v>0</v>
      </c>
      <c r="J13" s="290"/>
      <c r="K13" s="291">
        <f t="shared" si="0"/>
        <v>0</v>
      </c>
      <c r="L13" s="290"/>
      <c r="M13" s="291">
        <f t="shared" si="1"/>
        <v>0</v>
      </c>
    </row>
    <row r="14" spans="1:13" ht="15.75">
      <c r="A14" s="288"/>
      <c r="B14" s="292"/>
      <c r="C14" s="366" t="s">
        <v>377</v>
      </c>
      <c r="D14" s="366"/>
      <c r="E14" s="292">
        <f>SUM(E8:E13)</f>
        <v>41500</v>
      </c>
      <c r="F14" s="288"/>
      <c r="G14" s="292">
        <f>SUM(G8:G13)</f>
        <v>31500</v>
      </c>
      <c r="H14" s="287"/>
      <c r="I14" s="292">
        <f>SUM(I8:I13)</f>
        <v>0</v>
      </c>
      <c r="J14" s="287"/>
      <c r="K14" s="292">
        <f>SUM(K8:K13)</f>
        <v>10000</v>
      </c>
      <c r="L14" s="287"/>
      <c r="M14" s="292">
        <f>SUM(M8:M13)</f>
        <v>0</v>
      </c>
    </row>
    <row r="15" spans="1:13" ht="12.75" customHeight="1">
      <c r="A15" s="287" t="s">
        <v>523</v>
      </c>
      <c r="B15" s="288"/>
      <c r="C15" s="288"/>
      <c r="D15" s="288"/>
      <c r="E15" s="293"/>
      <c r="F15" s="288"/>
      <c r="G15" s="288"/>
      <c r="H15" s="288"/>
      <c r="I15" s="288"/>
      <c r="J15" s="288"/>
      <c r="K15" s="288"/>
      <c r="L15" s="288"/>
      <c r="M15" s="288"/>
    </row>
    <row r="16" spans="1:13" ht="15.75">
      <c r="A16" s="369" t="s">
        <v>360</v>
      </c>
      <c r="B16" s="369" t="s">
        <v>361</v>
      </c>
      <c r="C16" s="369" t="s">
        <v>362</v>
      </c>
      <c r="D16" s="369" t="s">
        <v>363</v>
      </c>
      <c r="E16" s="369" t="s">
        <v>364</v>
      </c>
      <c r="F16" s="365" t="s">
        <v>365</v>
      </c>
      <c r="G16" s="365"/>
      <c r="H16" s="365" t="s">
        <v>366</v>
      </c>
      <c r="I16" s="365"/>
      <c r="J16" s="365" t="s">
        <v>367</v>
      </c>
      <c r="K16" s="365"/>
      <c r="L16" s="365" t="s">
        <v>368</v>
      </c>
      <c r="M16" s="365"/>
    </row>
    <row r="17" spans="1:13" ht="15.75">
      <c r="A17" s="370"/>
      <c r="B17" s="370"/>
      <c r="C17" s="370"/>
      <c r="D17" s="370"/>
      <c r="E17" s="370"/>
      <c r="F17" s="289" t="s">
        <v>369</v>
      </c>
      <c r="G17" s="289" t="s">
        <v>370</v>
      </c>
      <c r="H17" s="289" t="s">
        <v>369</v>
      </c>
      <c r="I17" s="289" t="s">
        <v>370</v>
      </c>
      <c r="J17" s="289" t="s">
        <v>369</v>
      </c>
      <c r="K17" s="289" t="s">
        <v>370</v>
      </c>
      <c r="L17" s="289" t="s">
        <v>369</v>
      </c>
      <c r="M17" s="289" t="s">
        <v>370</v>
      </c>
    </row>
    <row r="18" spans="1:13" ht="15.75">
      <c r="A18" s="290" t="s">
        <v>497</v>
      </c>
      <c r="B18" s="291">
        <v>4</v>
      </c>
      <c r="C18" s="290">
        <v>48</v>
      </c>
      <c r="D18" s="290" t="s">
        <v>378</v>
      </c>
      <c r="E18" s="291">
        <f t="shared" ref="E18:E33" si="5">B18*C18</f>
        <v>192</v>
      </c>
      <c r="F18" s="290">
        <v>12</v>
      </c>
      <c r="G18" s="291">
        <f t="shared" ref="G18:G33" si="6">B18*F18</f>
        <v>48</v>
      </c>
      <c r="H18" s="290">
        <v>12</v>
      </c>
      <c r="I18" s="291">
        <f t="shared" ref="I18:I33" si="7">B18*H18</f>
        <v>48</v>
      </c>
      <c r="J18" s="290">
        <v>12</v>
      </c>
      <c r="K18" s="291">
        <f t="shared" ref="K18:K33" si="8">B18*J18</f>
        <v>48</v>
      </c>
      <c r="L18" s="290">
        <v>12</v>
      </c>
      <c r="M18" s="291">
        <f t="shared" ref="M18:M33" si="9">B18*L18</f>
        <v>48</v>
      </c>
    </row>
    <row r="19" spans="1:13" ht="15.75">
      <c r="A19" s="290" t="s">
        <v>498</v>
      </c>
      <c r="B19" s="291">
        <v>15</v>
      </c>
      <c r="C19" s="290">
        <v>60</v>
      </c>
      <c r="D19" s="290" t="s">
        <v>378</v>
      </c>
      <c r="E19" s="291">
        <f t="shared" si="5"/>
        <v>900</v>
      </c>
      <c r="F19" s="290">
        <v>15</v>
      </c>
      <c r="G19" s="291">
        <f t="shared" si="6"/>
        <v>225</v>
      </c>
      <c r="H19" s="290">
        <v>15</v>
      </c>
      <c r="I19" s="291">
        <f t="shared" si="7"/>
        <v>225</v>
      </c>
      <c r="J19" s="290">
        <v>15</v>
      </c>
      <c r="K19" s="291">
        <f t="shared" si="8"/>
        <v>225</v>
      </c>
      <c r="L19" s="290">
        <v>15</v>
      </c>
      <c r="M19" s="291">
        <f t="shared" si="9"/>
        <v>225</v>
      </c>
    </row>
    <row r="20" spans="1:13" ht="15.75">
      <c r="A20" s="290" t="s">
        <v>581</v>
      </c>
      <c r="B20" s="291">
        <v>5</v>
      </c>
      <c r="C20" s="290">
        <v>1000</v>
      </c>
      <c r="D20" s="290" t="s">
        <v>378</v>
      </c>
      <c r="E20" s="291">
        <f t="shared" si="5"/>
        <v>5000</v>
      </c>
      <c r="F20" s="290"/>
      <c r="G20" s="291">
        <f t="shared" si="6"/>
        <v>0</v>
      </c>
      <c r="H20" s="290"/>
      <c r="I20" s="291">
        <f t="shared" si="7"/>
        <v>0</v>
      </c>
      <c r="J20" s="290"/>
      <c r="K20" s="291">
        <f t="shared" si="8"/>
        <v>0</v>
      </c>
      <c r="L20" s="290">
        <v>1000</v>
      </c>
      <c r="M20" s="291">
        <f t="shared" si="9"/>
        <v>5000</v>
      </c>
    </row>
    <row r="21" spans="1:13" ht="15.75">
      <c r="A21" s="290" t="s">
        <v>582</v>
      </c>
      <c r="B21" s="291">
        <v>10</v>
      </c>
      <c r="C21" s="290">
        <v>12</v>
      </c>
      <c r="D21" s="290" t="s">
        <v>378</v>
      </c>
      <c r="E21" s="291">
        <f t="shared" si="5"/>
        <v>120</v>
      </c>
      <c r="F21" s="290">
        <v>12</v>
      </c>
      <c r="G21" s="291">
        <f t="shared" si="6"/>
        <v>120</v>
      </c>
      <c r="H21" s="290"/>
      <c r="I21" s="291">
        <f t="shared" si="7"/>
        <v>0</v>
      </c>
      <c r="J21" s="290"/>
      <c r="K21" s="291">
        <f t="shared" si="8"/>
        <v>0</v>
      </c>
      <c r="L21" s="290"/>
      <c r="M21" s="291">
        <f t="shared" si="9"/>
        <v>0</v>
      </c>
    </row>
    <row r="22" spans="1:13" ht="15.75">
      <c r="A22" s="290" t="s">
        <v>499</v>
      </c>
      <c r="B22" s="291">
        <v>30</v>
      </c>
      <c r="C22" s="290">
        <v>30</v>
      </c>
      <c r="D22" s="290" t="s">
        <v>378</v>
      </c>
      <c r="E22" s="291">
        <f t="shared" si="5"/>
        <v>900</v>
      </c>
      <c r="F22" s="290">
        <v>10</v>
      </c>
      <c r="G22" s="291">
        <f t="shared" si="6"/>
        <v>300</v>
      </c>
      <c r="H22" s="290">
        <v>10</v>
      </c>
      <c r="I22" s="291">
        <f t="shared" si="7"/>
        <v>300</v>
      </c>
      <c r="J22" s="290">
        <v>10</v>
      </c>
      <c r="K22" s="291">
        <f t="shared" si="8"/>
        <v>300</v>
      </c>
      <c r="L22" s="290"/>
      <c r="M22" s="291">
        <f t="shared" si="9"/>
        <v>0</v>
      </c>
    </row>
    <row r="23" spans="1:13" ht="15.75">
      <c r="A23" s="290" t="s">
        <v>583</v>
      </c>
      <c r="B23" s="291">
        <v>142</v>
      </c>
      <c r="C23" s="290">
        <v>10</v>
      </c>
      <c r="D23" s="290" t="s">
        <v>500</v>
      </c>
      <c r="E23" s="291">
        <f t="shared" si="5"/>
        <v>1420</v>
      </c>
      <c r="F23" s="290">
        <v>5</v>
      </c>
      <c r="G23" s="291">
        <f t="shared" si="6"/>
        <v>710</v>
      </c>
      <c r="H23" s="290"/>
      <c r="I23" s="291">
        <f t="shared" si="7"/>
        <v>0</v>
      </c>
      <c r="J23" s="290">
        <v>5</v>
      </c>
      <c r="K23" s="291">
        <f t="shared" si="8"/>
        <v>710</v>
      </c>
      <c r="L23" s="290"/>
      <c r="M23" s="291">
        <f t="shared" si="9"/>
        <v>0</v>
      </c>
    </row>
    <row r="24" spans="1:13" ht="15.75">
      <c r="A24" s="294" t="s">
        <v>584</v>
      </c>
      <c r="B24" s="295">
        <v>120</v>
      </c>
      <c r="C24" s="296">
        <v>4</v>
      </c>
      <c r="D24" s="294" t="s">
        <v>500</v>
      </c>
      <c r="E24" s="291">
        <f t="shared" si="5"/>
        <v>480</v>
      </c>
      <c r="F24" s="297">
        <v>2</v>
      </c>
      <c r="G24" s="291">
        <f t="shared" si="6"/>
        <v>240</v>
      </c>
      <c r="H24" s="298"/>
      <c r="I24" s="291">
        <f t="shared" si="7"/>
        <v>0</v>
      </c>
      <c r="J24" s="297">
        <v>2</v>
      </c>
      <c r="K24" s="291">
        <f t="shared" si="8"/>
        <v>240</v>
      </c>
      <c r="L24" s="298"/>
      <c r="M24" s="291">
        <f t="shared" si="9"/>
        <v>0</v>
      </c>
    </row>
    <row r="25" spans="1:13" ht="15.75">
      <c r="A25" s="290" t="s">
        <v>585</v>
      </c>
      <c r="B25" s="291">
        <v>180</v>
      </c>
      <c r="C25" s="290">
        <v>8</v>
      </c>
      <c r="D25" s="290" t="s">
        <v>500</v>
      </c>
      <c r="E25" s="291">
        <f t="shared" si="5"/>
        <v>1440</v>
      </c>
      <c r="F25" s="290">
        <v>4</v>
      </c>
      <c r="G25" s="291">
        <f t="shared" si="6"/>
        <v>720</v>
      </c>
      <c r="H25" s="290"/>
      <c r="I25" s="291">
        <f t="shared" si="7"/>
        <v>0</v>
      </c>
      <c r="J25" s="290">
        <v>4</v>
      </c>
      <c r="K25" s="291">
        <f t="shared" si="8"/>
        <v>720</v>
      </c>
      <c r="L25" s="290"/>
      <c r="M25" s="291">
        <f t="shared" si="9"/>
        <v>0</v>
      </c>
    </row>
    <row r="26" spans="1:13" ht="15.75">
      <c r="A26" s="290" t="s">
        <v>586</v>
      </c>
      <c r="B26" s="291">
        <v>155</v>
      </c>
      <c r="C26" s="290">
        <v>4</v>
      </c>
      <c r="D26" s="290" t="s">
        <v>500</v>
      </c>
      <c r="E26" s="291">
        <f t="shared" si="5"/>
        <v>620</v>
      </c>
      <c r="F26" s="290">
        <v>2</v>
      </c>
      <c r="G26" s="291">
        <f t="shared" si="6"/>
        <v>310</v>
      </c>
      <c r="H26" s="290"/>
      <c r="I26" s="291">
        <f t="shared" si="7"/>
        <v>0</v>
      </c>
      <c r="J26" s="290">
        <v>2</v>
      </c>
      <c r="K26" s="291">
        <f t="shared" si="8"/>
        <v>310</v>
      </c>
      <c r="L26" s="290"/>
      <c r="M26" s="291">
        <f t="shared" si="9"/>
        <v>0</v>
      </c>
    </row>
    <row r="27" spans="1:13" ht="15.75">
      <c r="A27" s="290" t="s">
        <v>501</v>
      </c>
      <c r="B27" s="291">
        <v>2</v>
      </c>
      <c r="C27" s="290">
        <v>12</v>
      </c>
      <c r="D27" s="290" t="s">
        <v>378</v>
      </c>
      <c r="E27" s="291">
        <f t="shared" si="5"/>
        <v>24</v>
      </c>
      <c r="F27" s="290">
        <v>12</v>
      </c>
      <c r="G27" s="291">
        <f t="shared" si="6"/>
        <v>24</v>
      </c>
      <c r="H27" s="290"/>
      <c r="I27" s="291">
        <f t="shared" si="7"/>
        <v>0</v>
      </c>
      <c r="J27" s="290"/>
      <c r="K27" s="291">
        <f t="shared" si="8"/>
        <v>0</v>
      </c>
      <c r="L27" s="290"/>
      <c r="M27" s="291">
        <f t="shared" si="9"/>
        <v>0</v>
      </c>
    </row>
    <row r="28" spans="1:13" ht="15.75">
      <c r="A28" s="290" t="s">
        <v>587</v>
      </c>
      <c r="B28" s="291">
        <v>700</v>
      </c>
      <c r="C28" s="290">
        <v>2</v>
      </c>
      <c r="D28" s="290" t="s">
        <v>378</v>
      </c>
      <c r="E28" s="291">
        <f t="shared" si="5"/>
        <v>1400</v>
      </c>
      <c r="F28" s="290">
        <v>2</v>
      </c>
      <c r="G28" s="291">
        <f t="shared" si="6"/>
        <v>1400</v>
      </c>
      <c r="H28" s="290"/>
      <c r="I28" s="291">
        <f t="shared" si="7"/>
        <v>0</v>
      </c>
      <c r="J28" s="290"/>
      <c r="K28" s="291">
        <f t="shared" si="8"/>
        <v>0</v>
      </c>
      <c r="L28" s="290"/>
      <c r="M28" s="291">
        <f t="shared" si="9"/>
        <v>0</v>
      </c>
    </row>
    <row r="29" spans="1:13" ht="15.75">
      <c r="A29" s="290" t="s">
        <v>588</v>
      </c>
      <c r="B29" s="291">
        <v>540</v>
      </c>
      <c r="C29" s="290">
        <v>1</v>
      </c>
      <c r="D29" s="290" t="s">
        <v>500</v>
      </c>
      <c r="E29" s="291">
        <f t="shared" si="5"/>
        <v>540</v>
      </c>
      <c r="F29" s="290">
        <v>1</v>
      </c>
      <c r="G29" s="291">
        <f t="shared" si="6"/>
        <v>540</v>
      </c>
      <c r="H29" s="290"/>
      <c r="I29" s="291">
        <f t="shared" si="7"/>
        <v>0</v>
      </c>
      <c r="J29" s="290"/>
      <c r="K29" s="291">
        <f t="shared" si="8"/>
        <v>0</v>
      </c>
      <c r="L29" s="290"/>
      <c r="M29" s="291">
        <f t="shared" si="9"/>
        <v>0</v>
      </c>
    </row>
    <row r="30" spans="1:13" ht="15.75">
      <c r="A30" s="290" t="s">
        <v>502</v>
      </c>
      <c r="B30" s="291">
        <v>35</v>
      </c>
      <c r="C30" s="290">
        <v>2</v>
      </c>
      <c r="D30" s="290" t="s">
        <v>378</v>
      </c>
      <c r="E30" s="291">
        <f t="shared" si="5"/>
        <v>70</v>
      </c>
      <c r="F30" s="290">
        <v>2</v>
      </c>
      <c r="G30" s="291">
        <f t="shared" si="6"/>
        <v>70</v>
      </c>
      <c r="H30" s="290"/>
      <c r="I30" s="291">
        <f t="shared" si="7"/>
        <v>0</v>
      </c>
      <c r="J30" s="290"/>
      <c r="K30" s="291">
        <f t="shared" si="8"/>
        <v>0</v>
      </c>
      <c r="L30" s="290"/>
      <c r="M30" s="291">
        <f t="shared" si="9"/>
        <v>0</v>
      </c>
    </row>
    <row r="31" spans="1:13" ht="15.75">
      <c r="A31" s="290" t="s">
        <v>503</v>
      </c>
      <c r="B31" s="291">
        <v>19</v>
      </c>
      <c r="C31" s="290">
        <v>26</v>
      </c>
      <c r="D31" s="290" t="s">
        <v>378</v>
      </c>
      <c r="E31" s="291">
        <f t="shared" si="5"/>
        <v>494</v>
      </c>
      <c r="F31" s="290">
        <v>6</v>
      </c>
      <c r="G31" s="291">
        <f t="shared" si="6"/>
        <v>114</v>
      </c>
      <c r="H31" s="290"/>
      <c r="I31" s="291">
        <f t="shared" si="7"/>
        <v>0</v>
      </c>
      <c r="J31" s="290">
        <v>10</v>
      </c>
      <c r="K31" s="291">
        <f t="shared" si="8"/>
        <v>190</v>
      </c>
      <c r="L31" s="290">
        <v>10</v>
      </c>
      <c r="M31" s="291">
        <f t="shared" si="9"/>
        <v>190</v>
      </c>
    </row>
    <row r="32" spans="1:13" ht="15.75">
      <c r="A32" s="290" t="s">
        <v>589</v>
      </c>
      <c r="B32" s="291">
        <v>3500</v>
      </c>
      <c r="C32" s="290">
        <v>2</v>
      </c>
      <c r="D32" s="290" t="s">
        <v>378</v>
      </c>
      <c r="E32" s="291">
        <f t="shared" si="5"/>
        <v>7000</v>
      </c>
      <c r="F32" s="290">
        <v>1</v>
      </c>
      <c r="G32" s="291">
        <f t="shared" si="6"/>
        <v>3500</v>
      </c>
      <c r="H32" s="290"/>
      <c r="I32" s="291">
        <f t="shared" si="7"/>
        <v>0</v>
      </c>
      <c r="J32" s="290">
        <v>1</v>
      </c>
      <c r="K32" s="291">
        <f t="shared" si="8"/>
        <v>3500</v>
      </c>
      <c r="L32" s="290"/>
      <c r="M32" s="291">
        <f t="shared" si="9"/>
        <v>0</v>
      </c>
    </row>
    <row r="33" spans="1:13" ht="15.75">
      <c r="A33" s="290" t="s">
        <v>590</v>
      </c>
      <c r="B33" s="291">
        <v>3200</v>
      </c>
      <c r="C33" s="290">
        <v>2</v>
      </c>
      <c r="D33" s="290" t="s">
        <v>378</v>
      </c>
      <c r="E33" s="291">
        <f t="shared" si="5"/>
        <v>6400</v>
      </c>
      <c r="F33" s="290"/>
      <c r="G33" s="291">
        <f t="shared" si="6"/>
        <v>0</v>
      </c>
      <c r="H33" s="290">
        <v>1</v>
      </c>
      <c r="I33" s="291">
        <f t="shared" si="7"/>
        <v>3200</v>
      </c>
      <c r="J33" s="290"/>
      <c r="K33" s="291">
        <f t="shared" si="8"/>
        <v>0</v>
      </c>
      <c r="L33" s="290">
        <v>1</v>
      </c>
      <c r="M33" s="291">
        <f t="shared" si="9"/>
        <v>3200</v>
      </c>
    </row>
    <row r="34" spans="1:13" ht="15.75">
      <c r="A34" s="290" t="s">
        <v>591</v>
      </c>
      <c r="B34" s="291">
        <v>100</v>
      </c>
      <c r="C34" s="290">
        <v>6</v>
      </c>
      <c r="D34" s="290" t="s">
        <v>378</v>
      </c>
      <c r="E34" s="291">
        <f t="shared" ref="E34:E64" si="10">B34*C34</f>
        <v>600</v>
      </c>
      <c r="F34" s="290">
        <v>6</v>
      </c>
      <c r="G34" s="291">
        <f t="shared" ref="G34:G64" si="11">B34*F34</f>
        <v>600</v>
      </c>
      <c r="H34" s="290"/>
      <c r="I34" s="291">
        <f t="shared" ref="I34:I64" si="12">B34*H34</f>
        <v>0</v>
      </c>
      <c r="J34" s="290"/>
      <c r="K34" s="291">
        <f t="shared" ref="K34:K64" si="13">B34*J34</f>
        <v>0</v>
      </c>
      <c r="L34" s="290"/>
      <c r="M34" s="291">
        <f t="shared" ref="M34:M64" si="14">B34*L34</f>
        <v>0</v>
      </c>
    </row>
    <row r="35" spans="1:13" ht="15.75">
      <c r="A35" s="290" t="s">
        <v>504</v>
      </c>
      <c r="B35" s="291">
        <v>296</v>
      </c>
      <c r="C35" s="290">
        <v>10</v>
      </c>
      <c r="D35" s="290" t="s">
        <v>500</v>
      </c>
      <c r="E35" s="291">
        <f t="shared" si="10"/>
        <v>2960</v>
      </c>
      <c r="F35" s="290">
        <v>5</v>
      </c>
      <c r="G35" s="291">
        <f t="shared" si="11"/>
        <v>1480</v>
      </c>
      <c r="H35" s="290"/>
      <c r="I35" s="291">
        <f t="shared" si="12"/>
        <v>0</v>
      </c>
      <c r="J35" s="290">
        <v>5</v>
      </c>
      <c r="K35" s="291">
        <f t="shared" si="13"/>
        <v>1480</v>
      </c>
      <c r="L35" s="290"/>
      <c r="M35" s="291">
        <f t="shared" si="14"/>
        <v>0</v>
      </c>
    </row>
    <row r="36" spans="1:13" ht="15.75">
      <c r="A36" s="290" t="s">
        <v>592</v>
      </c>
      <c r="B36" s="291">
        <v>200</v>
      </c>
      <c r="C36" s="290">
        <v>1</v>
      </c>
      <c r="D36" s="290" t="s">
        <v>500</v>
      </c>
      <c r="E36" s="291">
        <f t="shared" si="10"/>
        <v>200</v>
      </c>
      <c r="F36" s="290"/>
      <c r="G36" s="291">
        <f t="shared" si="11"/>
        <v>0</v>
      </c>
      <c r="H36" s="290">
        <v>1</v>
      </c>
      <c r="I36" s="291">
        <f t="shared" si="12"/>
        <v>200</v>
      </c>
      <c r="J36" s="290"/>
      <c r="K36" s="291">
        <f t="shared" si="13"/>
        <v>0</v>
      </c>
      <c r="L36" s="290"/>
      <c r="M36" s="291">
        <f t="shared" si="14"/>
        <v>0</v>
      </c>
    </row>
    <row r="37" spans="1:13" ht="15.75">
      <c r="A37" s="290" t="s">
        <v>593</v>
      </c>
      <c r="B37" s="291">
        <v>200</v>
      </c>
      <c r="C37" s="290">
        <v>2</v>
      </c>
      <c r="D37" s="290" t="s">
        <v>378</v>
      </c>
      <c r="E37" s="291">
        <f t="shared" si="10"/>
        <v>400</v>
      </c>
      <c r="F37" s="290">
        <v>2</v>
      </c>
      <c r="G37" s="291">
        <f t="shared" si="11"/>
        <v>400</v>
      </c>
      <c r="H37" s="290"/>
      <c r="I37" s="291">
        <f t="shared" si="12"/>
        <v>0</v>
      </c>
      <c r="J37" s="290"/>
      <c r="K37" s="291">
        <f t="shared" si="13"/>
        <v>0</v>
      </c>
      <c r="L37" s="290"/>
      <c r="M37" s="291">
        <f t="shared" si="14"/>
        <v>0</v>
      </c>
    </row>
    <row r="38" spans="1:13" ht="15.75">
      <c r="A38" s="290" t="s">
        <v>594</v>
      </c>
      <c r="B38" s="291">
        <v>300</v>
      </c>
      <c r="C38" s="290">
        <v>3</v>
      </c>
      <c r="D38" s="290" t="s">
        <v>378</v>
      </c>
      <c r="E38" s="291">
        <f t="shared" si="10"/>
        <v>900</v>
      </c>
      <c r="F38" s="290">
        <v>1</v>
      </c>
      <c r="G38" s="291">
        <f t="shared" si="11"/>
        <v>300</v>
      </c>
      <c r="H38" s="290">
        <v>1</v>
      </c>
      <c r="I38" s="291">
        <f t="shared" si="12"/>
        <v>300</v>
      </c>
      <c r="J38" s="290">
        <v>1</v>
      </c>
      <c r="K38" s="291">
        <f t="shared" si="13"/>
        <v>300</v>
      </c>
      <c r="L38" s="290"/>
      <c r="M38" s="291">
        <f t="shared" si="14"/>
        <v>0</v>
      </c>
    </row>
    <row r="39" spans="1:13" ht="15.75">
      <c r="A39" s="290" t="s">
        <v>595</v>
      </c>
      <c r="B39" s="291">
        <v>50</v>
      </c>
      <c r="C39" s="290">
        <v>1</v>
      </c>
      <c r="D39" s="290" t="s">
        <v>374</v>
      </c>
      <c r="E39" s="291">
        <f t="shared" si="10"/>
        <v>50</v>
      </c>
      <c r="F39" s="290">
        <v>1</v>
      </c>
      <c r="G39" s="291">
        <f t="shared" si="11"/>
        <v>50</v>
      </c>
      <c r="H39" s="290"/>
      <c r="I39" s="291">
        <f t="shared" si="12"/>
        <v>0</v>
      </c>
      <c r="J39" s="290"/>
      <c r="K39" s="291">
        <f t="shared" si="13"/>
        <v>0</v>
      </c>
      <c r="L39" s="290"/>
      <c r="M39" s="291">
        <f t="shared" si="14"/>
        <v>0</v>
      </c>
    </row>
    <row r="40" spans="1:13" ht="15.75">
      <c r="A40" s="290" t="s">
        <v>596</v>
      </c>
      <c r="B40" s="291">
        <v>30</v>
      </c>
      <c r="C40" s="290">
        <v>20</v>
      </c>
      <c r="D40" s="290" t="s">
        <v>378</v>
      </c>
      <c r="E40" s="291">
        <f t="shared" si="10"/>
        <v>600</v>
      </c>
      <c r="F40" s="290">
        <v>5</v>
      </c>
      <c r="G40" s="291">
        <f t="shared" si="11"/>
        <v>150</v>
      </c>
      <c r="H40" s="290">
        <v>5</v>
      </c>
      <c r="I40" s="291">
        <f t="shared" si="12"/>
        <v>150</v>
      </c>
      <c r="J40" s="290">
        <v>5</v>
      </c>
      <c r="K40" s="291">
        <f t="shared" si="13"/>
        <v>150</v>
      </c>
      <c r="L40" s="290">
        <v>5</v>
      </c>
      <c r="M40" s="291">
        <f t="shared" si="14"/>
        <v>150</v>
      </c>
    </row>
    <row r="41" spans="1:13" ht="15.75">
      <c r="A41" s="290" t="s">
        <v>597</v>
      </c>
      <c r="B41" s="291">
        <v>1200</v>
      </c>
      <c r="C41" s="290">
        <v>4</v>
      </c>
      <c r="D41" s="290" t="s">
        <v>378</v>
      </c>
      <c r="E41" s="291">
        <f t="shared" si="10"/>
        <v>4800</v>
      </c>
      <c r="F41" s="290">
        <v>1</v>
      </c>
      <c r="G41" s="291">
        <f t="shared" si="11"/>
        <v>1200</v>
      </c>
      <c r="H41" s="290">
        <v>1</v>
      </c>
      <c r="I41" s="291">
        <f t="shared" si="12"/>
        <v>1200</v>
      </c>
      <c r="J41" s="290">
        <v>1</v>
      </c>
      <c r="K41" s="291">
        <f t="shared" si="13"/>
        <v>1200</v>
      </c>
      <c r="L41" s="290">
        <v>1</v>
      </c>
      <c r="M41" s="291">
        <f t="shared" si="14"/>
        <v>1200</v>
      </c>
    </row>
    <row r="42" spans="1:13" ht="15.75">
      <c r="A42" s="290" t="s">
        <v>505</v>
      </c>
      <c r="B42" s="291">
        <v>50</v>
      </c>
      <c r="C42" s="290">
        <v>2</v>
      </c>
      <c r="D42" s="290" t="s">
        <v>500</v>
      </c>
      <c r="E42" s="291">
        <f t="shared" si="10"/>
        <v>100</v>
      </c>
      <c r="F42" s="290">
        <v>1</v>
      </c>
      <c r="G42" s="291">
        <f t="shared" si="11"/>
        <v>50</v>
      </c>
      <c r="H42" s="290"/>
      <c r="I42" s="291">
        <f t="shared" si="12"/>
        <v>0</v>
      </c>
      <c r="J42" s="290">
        <v>1</v>
      </c>
      <c r="K42" s="291">
        <f t="shared" si="13"/>
        <v>50</v>
      </c>
      <c r="L42" s="290"/>
      <c r="M42" s="291">
        <f t="shared" si="14"/>
        <v>0</v>
      </c>
    </row>
    <row r="43" spans="1:13" ht="15.75">
      <c r="A43" s="290" t="s">
        <v>598</v>
      </c>
      <c r="B43" s="291">
        <v>300</v>
      </c>
      <c r="C43" s="290">
        <v>12</v>
      </c>
      <c r="D43" s="290" t="s">
        <v>424</v>
      </c>
      <c r="E43" s="291">
        <f t="shared" si="10"/>
        <v>3600</v>
      </c>
      <c r="F43" s="290">
        <v>4</v>
      </c>
      <c r="G43" s="291">
        <f t="shared" si="11"/>
        <v>1200</v>
      </c>
      <c r="H43" s="290">
        <v>4</v>
      </c>
      <c r="I43" s="291">
        <f t="shared" si="12"/>
        <v>1200</v>
      </c>
      <c r="J43" s="290">
        <v>4</v>
      </c>
      <c r="K43" s="291">
        <f t="shared" si="13"/>
        <v>1200</v>
      </c>
      <c r="L43" s="290"/>
      <c r="M43" s="291">
        <f t="shared" si="14"/>
        <v>0</v>
      </c>
    </row>
    <row r="44" spans="1:13" ht="15.75">
      <c r="A44" s="290" t="s">
        <v>599</v>
      </c>
      <c r="B44" s="291">
        <v>200</v>
      </c>
      <c r="C44" s="290">
        <v>2</v>
      </c>
      <c r="D44" s="290" t="s">
        <v>378</v>
      </c>
      <c r="E44" s="291">
        <f t="shared" si="10"/>
        <v>400</v>
      </c>
      <c r="F44" s="290">
        <v>2</v>
      </c>
      <c r="G44" s="291">
        <f t="shared" si="11"/>
        <v>400</v>
      </c>
      <c r="H44" s="290"/>
      <c r="I44" s="291">
        <f t="shared" si="12"/>
        <v>0</v>
      </c>
      <c r="J44" s="290"/>
      <c r="K44" s="291">
        <f t="shared" si="13"/>
        <v>0</v>
      </c>
      <c r="L44" s="290"/>
      <c r="M44" s="291">
        <f t="shared" si="14"/>
        <v>0</v>
      </c>
    </row>
    <row r="45" spans="1:13" ht="15.75">
      <c r="A45" s="290" t="s">
        <v>506</v>
      </c>
      <c r="B45" s="291">
        <v>46</v>
      </c>
      <c r="C45" s="290">
        <v>6</v>
      </c>
      <c r="D45" s="290" t="s">
        <v>378</v>
      </c>
      <c r="E45" s="291">
        <f t="shared" si="10"/>
        <v>276</v>
      </c>
      <c r="F45" s="290"/>
      <c r="G45" s="291">
        <f t="shared" si="11"/>
        <v>0</v>
      </c>
      <c r="H45" s="290">
        <v>3</v>
      </c>
      <c r="I45" s="291">
        <f t="shared" si="12"/>
        <v>138</v>
      </c>
      <c r="J45" s="290"/>
      <c r="K45" s="291">
        <f t="shared" si="13"/>
        <v>0</v>
      </c>
      <c r="L45" s="290">
        <v>3</v>
      </c>
      <c r="M45" s="291">
        <f t="shared" si="14"/>
        <v>138</v>
      </c>
    </row>
    <row r="46" spans="1:13" ht="15.75">
      <c r="A46" s="290" t="s">
        <v>507</v>
      </c>
      <c r="B46" s="291">
        <v>15</v>
      </c>
      <c r="C46" s="290">
        <v>6</v>
      </c>
      <c r="D46" s="290" t="s">
        <v>385</v>
      </c>
      <c r="E46" s="291">
        <f t="shared" si="10"/>
        <v>90</v>
      </c>
      <c r="F46" s="290">
        <v>3</v>
      </c>
      <c r="G46" s="291">
        <f t="shared" si="11"/>
        <v>45</v>
      </c>
      <c r="H46" s="290"/>
      <c r="I46" s="291">
        <f t="shared" si="12"/>
        <v>0</v>
      </c>
      <c r="J46" s="290">
        <v>3</v>
      </c>
      <c r="K46" s="291">
        <f t="shared" si="13"/>
        <v>45</v>
      </c>
      <c r="L46" s="290"/>
      <c r="M46" s="291">
        <f t="shared" si="14"/>
        <v>0</v>
      </c>
    </row>
    <row r="47" spans="1:13" ht="15.75">
      <c r="A47" s="290" t="s">
        <v>508</v>
      </c>
      <c r="B47" s="291">
        <v>24</v>
      </c>
      <c r="C47" s="290">
        <v>6</v>
      </c>
      <c r="D47" s="290" t="s">
        <v>385</v>
      </c>
      <c r="E47" s="291">
        <f t="shared" si="10"/>
        <v>144</v>
      </c>
      <c r="F47" s="290">
        <v>3</v>
      </c>
      <c r="G47" s="291">
        <f t="shared" si="11"/>
        <v>72</v>
      </c>
      <c r="H47" s="290"/>
      <c r="I47" s="291">
        <f t="shared" si="12"/>
        <v>0</v>
      </c>
      <c r="J47" s="290">
        <v>3</v>
      </c>
      <c r="K47" s="291">
        <f t="shared" si="13"/>
        <v>72</v>
      </c>
      <c r="L47" s="290"/>
      <c r="M47" s="291">
        <f t="shared" si="14"/>
        <v>0</v>
      </c>
    </row>
    <row r="48" spans="1:13" ht="15.75">
      <c r="A48" s="290" t="s">
        <v>600</v>
      </c>
      <c r="B48" s="291">
        <v>5</v>
      </c>
      <c r="C48" s="290">
        <v>4</v>
      </c>
      <c r="D48" s="290" t="s">
        <v>378</v>
      </c>
      <c r="E48" s="291">
        <f t="shared" si="10"/>
        <v>20</v>
      </c>
      <c r="F48" s="290">
        <v>4</v>
      </c>
      <c r="G48" s="291">
        <f t="shared" si="11"/>
        <v>20</v>
      </c>
      <c r="H48" s="290"/>
      <c r="I48" s="291">
        <f t="shared" si="12"/>
        <v>0</v>
      </c>
      <c r="J48" s="290"/>
      <c r="K48" s="291">
        <f t="shared" si="13"/>
        <v>0</v>
      </c>
      <c r="L48" s="290"/>
      <c r="M48" s="291">
        <f t="shared" si="14"/>
        <v>0</v>
      </c>
    </row>
    <row r="49" spans="1:13" ht="15.75">
      <c r="A49" s="290" t="s">
        <v>601</v>
      </c>
      <c r="B49" s="291">
        <v>24</v>
      </c>
      <c r="C49" s="290">
        <v>12</v>
      </c>
      <c r="D49" s="290" t="s">
        <v>378</v>
      </c>
      <c r="E49" s="291">
        <f t="shared" si="10"/>
        <v>288</v>
      </c>
      <c r="F49" s="290">
        <v>6</v>
      </c>
      <c r="G49" s="291">
        <f t="shared" si="11"/>
        <v>144</v>
      </c>
      <c r="H49" s="290"/>
      <c r="I49" s="291">
        <f t="shared" si="12"/>
        <v>0</v>
      </c>
      <c r="J49" s="290">
        <v>6</v>
      </c>
      <c r="K49" s="291">
        <f t="shared" si="13"/>
        <v>144</v>
      </c>
      <c r="L49" s="290"/>
      <c r="M49" s="291">
        <f t="shared" si="14"/>
        <v>0</v>
      </c>
    </row>
    <row r="50" spans="1:13" ht="15.75">
      <c r="A50" s="299" t="s">
        <v>509</v>
      </c>
      <c r="B50" s="300">
        <v>700</v>
      </c>
      <c r="C50" s="299">
        <v>6</v>
      </c>
      <c r="D50" s="299" t="s">
        <v>424</v>
      </c>
      <c r="E50" s="291">
        <f t="shared" si="10"/>
        <v>4200</v>
      </c>
      <c r="F50" s="299">
        <v>2</v>
      </c>
      <c r="G50" s="291">
        <f t="shared" si="11"/>
        <v>1400</v>
      </c>
      <c r="H50" s="299">
        <v>2</v>
      </c>
      <c r="I50" s="291">
        <f t="shared" si="12"/>
        <v>1400</v>
      </c>
      <c r="J50" s="299">
        <v>2</v>
      </c>
      <c r="K50" s="291">
        <f t="shared" si="13"/>
        <v>1400</v>
      </c>
      <c r="L50" s="299"/>
      <c r="M50" s="291">
        <f t="shared" si="14"/>
        <v>0</v>
      </c>
    </row>
    <row r="51" spans="1:13" ht="15.75">
      <c r="A51" s="299" t="s">
        <v>602</v>
      </c>
      <c r="B51" s="300">
        <v>550</v>
      </c>
      <c r="C51" s="299">
        <v>2</v>
      </c>
      <c r="D51" s="299" t="s">
        <v>378</v>
      </c>
      <c r="E51" s="291">
        <f t="shared" si="10"/>
        <v>1100</v>
      </c>
      <c r="F51" s="299">
        <v>2</v>
      </c>
      <c r="G51" s="291">
        <f t="shared" si="11"/>
        <v>1100</v>
      </c>
      <c r="H51" s="299"/>
      <c r="I51" s="291">
        <f t="shared" si="12"/>
        <v>0</v>
      </c>
      <c r="J51" s="299"/>
      <c r="K51" s="291">
        <f t="shared" si="13"/>
        <v>0</v>
      </c>
      <c r="L51" s="299"/>
      <c r="M51" s="291">
        <f t="shared" si="14"/>
        <v>0</v>
      </c>
    </row>
    <row r="52" spans="1:13" ht="15.75">
      <c r="A52" s="290" t="s">
        <v>510</v>
      </c>
      <c r="B52" s="291">
        <v>35</v>
      </c>
      <c r="C52" s="290">
        <v>4</v>
      </c>
      <c r="D52" s="290" t="s">
        <v>378</v>
      </c>
      <c r="E52" s="291">
        <f t="shared" si="10"/>
        <v>140</v>
      </c>
      <c r="F52" s="290">
        <v>4</v>
      </c>
      <c r="G52" s="291">
        <f t="shared" si="11"/>
        <v>140</v>
      </c>
      <c r="H52" s="290"/>
      <c r="I52" s="291">
        <f t="shared" si="12"/>
        <v>0</v>
      </c>
      <c r="J52" s="290"/>
      <c r="K52" s="291">
        <f t="shared" si="13"/>
        <v>0</v>
      </c>
      <c r="L52" s="290"/>
      <c r="M52" s="291">
        <f t="shared" si="14"/>
        <v>0</v>
      </c>
    </row>
    <row r="53" spans="1:13" ht="15.75">
      <c r="A53" s="290" t="s">
        <v>603</v>
      </c>
      <c r="B53" s="291">
        <v>5</v>
      </c>
      <c r="C53" s="290">
        <v>20</v>
      </c>
      <c r="D53" s="290" t="s">
        <v>604</v>
      </c>
      <c r="E53" s="291">
        <f t="shared" si="10"/>
        <v>100</v>
      </c>
      <c r="F53" s="290">
        <v>20</v>
      </c>
      <c r="G53" s="291">
        <f t="shared" si="11"/>
        <v>100</v>
      </c>
      <c r="H53" s="290"/>
      <c r="I53" s="291">
        <f t="shared" si="12"/>
        <v>0</v>
      </c>
      <c r="J53" s="290"/>
      <c r="K53" s="291">
        <f t="shared" si="13"/>
        <v>0</v>
      </c>
      <c r="L53" s="290"/>
      <c r="M53" s="291">
        <f t="shared" si="14"/>
        <v>0</v>
      </c>
    </row>
    <row r="54" spans="1:13" ht="15.75">
      <c r="A54" s="299" t="s">
        <v>511</v>
      </c>
      <c r="B54" s="300">
        <v>7</v>
      </c>
      <c r="C54" s="299">
        <v>32</v>
      </c>
      <c r="D54" s="299" t="s">
        <v>385</v>
      </c>
      <c r="E54" s="291">
        <f t="shared" si="10"/>
        <v>224</v>
      </c>
      <c r="F54" s="299">
        <v>8</v>
      </c>
      <c r="G54" s="291">
        <f t="shared" si="11"/>
        <v>56</v>
      </c>
      <c r="H54" s="299">
        <v>8</v>
      </c>
      <c r="I54" s="291">
        <f t="shared" si="12"/>
        <v>56</v>
      </c>
      <c r="J54" s="299">
        <v>8</v>
      </c>
      <c r="K54" s="291">
        <f t="shared" si="13"/>
        <v>56</v>
      </c>
      <c r="L54" s="299">
        <v>8</v>
      </c>
      <c r="M54" s="291">
        <f t="shared" si="14"/>
        <v>56</v>
      </c>
    </row>
    <row r="55" spans="1:13" ht="15.75">
      <c r="A55" s="290" t="s">
        <v>605</v>
      </c>
      <c r="B55" s="291">
        <v>250</v>
      </c>
      <c r="C55" s="290">
        <v>2</v>
      </c>
      <c r="D55" s="290" t="s">
        <v>378</v>
      </c>
      <c r="E55" s="291">
        <f t="shared" si="10"/>
        <v>500</v>
      </c>
      <c r="F55" s="290">
        <v>2</v>
      </c>
      <c r="G55" s="291">
        <f t="shared" si="11"/>
        <v>500</v>
      </c>
      <c r="H55" s="290"/>
      <c r="I55" s="291">
        <f t="shared" si="12"/>
        <v>0</v>
      </c>
      <c r="J55" s="290"/>
      <c r="K55" s="291">
        <f t="shared" si="13"/>
        <v>0</v>
      </c>
      <c r="L55" s="290"/>
      <c r="M55" s="291">
        <f t="shared" si="14"/>
        <v>0</v>
      </c>
    </row>
    <row r="56" spans="1:13" ht="15.75">
      <c r="A56" s="290" t="s">
        <v>512</v>
      </c>
      <c r="B56" s="291">
        <v>12</v>
      </c>
      <c r="C56" s="290">
        <v>24</v>
      </c>
      <c r="D56" s="290" t="s">
        <v>378</v>
      </c>
      <c r="E56" s="291">
        <f t="shared" si="10"/>
        <v>288</v>
      </c>
      <c r="F56" s="290">
        <v>6</v>
      </c>
      <c r="G56" s="291">
        <f t="shared" si="11"/>
        <v>72</v>
      </c>
      <c r="H56" s="290">
        <v>6</v>
      </c>
      <c r="I56" s="291">
        <f t="shared" si="12"/>
        <v>72</v>
      </c>
      <c r="J56" s="290">
        <v>6</v>
      </c>
      <c r="K56" s="291">
        <f t="shared" si="13"/>
        <v>72</v>
      </c>
      <c r="L56" s="290">
        <v>6</v>
      </c>
      <c r="M56" s="291">
        <f t="shared" si="14"/>
        <v>72</v>
      </c>
    </row>
    <row r="57" spans="1:13" ht="15.75">
      <c r="A57" s="290" t="s">
        <v>606</v>
      </c>
      <c r="B57" s="291">
        <v>35</v>
      </c>
      <c r="C57" s="290">
        <v>2</v>
      </c>
      <c r="D57" s="290" t="s">
        <v>378</v>
      </c>
      <c r="E57" s="291">
        <f t="shared" si="10"/>
        <v>70</v>
      </c>
      <c r="F57" s="290">
        <v>2</v>
      </c>
      <c r="G57" s="291">
        <f t="shared" si="11"/>
        <v>70</v>
      </c>
      <c r="H57" s="290"/>
      <c r="I57" s="291">
        <f t="shared" si="12"/>
        <v>0</v>
      </c>
      <c r="J57" s="290"/>
      <c r="K57" s="291">
        <f t="shared" si="13"/>
        <v>0</v>
      </c>
      <c r="L57" s="290"/>
      <c r="M57" s="291">
        <f t="shared" si="14"/>
        <v>0</v>
      </c>
    </row>
    <row r="58" spans="1:13" ht="15.75">
      <c r="A58" s="290" t="s">
        <v>513</v>
      </c>
      <c r="B58" s="291">
        <v>17</v>
      </c>
      <c r="C58" s="290">
        <v>48</v>
      </c>
      <c r="D58" s="290" t="s">
        <v>378</v>
      </c>
      <c r="E58" s="291">
        <f t="shared" si="10"/>
        <v>816</v>
      </c>
      <c r="F58" s="290">
        <v>12</v>
      </c>
      <c r="G58" s="291">
        <f t="shared" si="11"/>
        <v>204</v>
      </c>
      <c r="H58" s="290">
        <v>12</v>
      </c>
      <c r="I58" s="291">
        <f t="shared" si="12"/>
        <v>204</v>
      </c>
      <c r="J58" s="290">
        <v>12</v>
      </c>
      <c r="K58" s="291">
        <f t="shared" si="13"/>
        <v>204</v>
      </c>
      <c r="L58" s="290">
        <v>12</v>
      </c>
      <c r="M58" s="291">
        <f t="shared" si="14"/>
        <v>204</v>
      </c>
    </row>
    <row r="59" spans="1:13" ht="15.75">
      <c r="A59" s="290" t="s">
        <v>607</v>
      </c>
      <c r="B59" s="291">
        <v>250</v>
      </c>
      <c r="C59" s="290">
        <v>8</v>
      </c>
      <c r="D59" s="290" t="s">
        <v>500</v>
      </c>
      <c r="E59" s="291">
        <f t="shared" si="10"/>
        <v>2000</v>
      </c>
      <c r="F59" s="290">
        <v>2</v>
      </c>
      <c r="G59" s="291">
        <f t="shared" si="11"/>
        <v>500</v>
      </c>
      <c r="H59" s="290">
        <v>2</v>
      </c>
      <c r="I59" s="291">
        <f t="shared" si="12"/>
        <v>500</v>
      </c>
      <c r="J59" s="290">
        <v>2</v>
      </c>
      <c r="K59" s="291">
        <f t="shared" si="13"/>
        <v>500</v>
      </c>
      <c r="L59" s="290">
        <v>2</v>
      </c>
      <c r="M59" s="291">
        <f t="shared" si="14"/>
        <v>500</v>
      </c>
    </row>
    <row r="60" spans="1:13" ht="15.75">
      <c r="A60" s="290" t="s">
        <v>608</v>
      </c>
      <c r="B60" s="291">
        <v>40</v>
      </c>
      <c r="C60" s="290">
        <v>2</v>
      </c>
      <c r="D60" s="290" t="s">
        <v>378</v>
      </c>
      <c r="E60" s="291">
        <f t="shared" si="10"/>
        <v>80</v>
      </c>
      <c r="F60" s="290">
        <v>2</v>
      </c>
      <c r="G60" s="291">
        <f t="shared" si="11"/>
        <v>80</v>
      </c>
      <c r="H60" s="290"/>
      <c r="I60" s="291">
        <f t="shared" si="12"/>
        <v>0</v>
      </c>
      <c r="J60" s="290"/>
      <c r="K60" s="291">
        <f t="shared" si="13"/>
        <v>0</v>
      </c>
      <c r="L60" s="290"/>
      <c r="M60" s="291">
        <f t="shared" si="14"/>
        <v>0</v>
      </c>
    </row>
    <row r="61" spans="1:13" ht="15.75">
      <c r="A61" s="290" t="s">
        <v>514</v>
      </c>
      <c r="B61" s="291">
        <v>35</v>
      </c>
      <c r="C61" s="290">
        <v>8</v>
      </c>
      <c r="D61" s="290" t="s">
        <v>385</v>
      </c>
      <c r="E61" s="291">
        <f t="shared" si="10"/>
        <v>280</v>
      </c>
      <c r="F61" s="290">
        <v>4</v>
      </c>
      <c r="G61" s="291">
        <f t="shared" si="11"/>
        <v>140</v>
      </c>
      <c r="H61" s="290"/>
      <c r="I61" s="291">
        <f t="shared" si="12"/>
        <v>0</v>
      </c>
      <c r="J61" s="290">
        <v>4</v>
      </c>
      <c r="K61" s="291">
        <f t="shared" si="13"/>
        <v>140</v>
      </c>
      <c r="L61" s="290"/>
      <c r="M61" s="291">
        <f t="shared" si="14"/>
        <v>0</v>
      </c>
    </row>
    <row r="62" spans="1:13" ht="15.75">
      <c r="A62" s="290" t="s">
        <v>609</v>
      </c>
      <c r="B62" s="291">
        <v>200</v>
      </c>
      <c r="C62" s="290">
        <v>5</v>
      </c>
      <c r="D62" s="290" t="s">
        <v>378</v>
      </c>
      <c r="E62" s="291">
        <f t="shared" si="10"/>
        <v>1000</v>
      </c>
      <c r="F62" s="290">
        <v>5</v>
      </c>
      <c r="G62" s="291">
        <f t="shared" si="11"/>
        <v>1000</v>
      </c>
      <c r="H62" s="290"/>
      <c r="I62" s="291">
        <f t="shared" si="12"/>
        <v>0</v>
      </c>
      <c r="J62" s="290"/>
      <c r="K62" s="291">
        <f t="shared" si="13"/>
        <v>0</v>
      </c>
      <c r="L62" s="290"/>
      <c r="M62" s="291">
        <f t="shared" si="14"/>
        <v>0</v>
      </c>
    </row>
    <row r="63" spans="1:13" ht="15.75">
      <c r="A63" s="290" t="s">
        <v>610</v>
      </c>
      <c r="B63" s="291">
        <v>5.5</v>
      </c>
      <c r="C63" s="290">
        <v>1000</v>
      </c>
      <c r="D63" s="290" t="s">
        <v>378</v>
      </c>
      <c r="E63" s="291">
        <f t="shared" si="10"/>
        <v>5500</v>
      </c>
      <c r="F63" s="290"/>
      <c r="G63" s="291">
        <f t="shared" si="11"/>
        <v>0</v>
      </c>
      <c r="H63" s="290"/>
      <c r="I63" s="291">
        <f t="shared" si="12"/>
        <v>0</v>
      </c>
      <c r="J63" s="290"/>
      <c r="K63" s="291">
        <f t="shared" si="13"/>
        <v>0</v>
      </c>
      <c r="L63" s="290">
        <v>1000</v>
      </c>
      <c r="M63" s="291">
        <f t="shared" si="14"/>
        <v>5500</v>
      </c>
    </row>
    <row r="64" spans="1:13" ht="15.75">
      <c r="A64" s="290" t="s">
        <v>515</v>
      </c>
      <c r="B64" s="291">
        <v>20</v>
      </c>
      <c r="C64" s="290">
        <v>6</v>
      </c>
      <c r="D64" s="290" t="s">
        <v>378</v>
      </c>
      <c r="E64" s="291">
        <f t="shared" si="10"/>
        <v>120</v>
      </c>
      <c r="F64" s="290">
        <v>3</v>
      </c>
      <c r="G64" s="291">
        <f t="shared" si="11"/>
        <v>60</v>
      </c>
      <c r="H64" s="290"/>
      <c r="I64" s="291">
        <f t="shared" si="12"/>
        <v>0</v>
      </c>
      <c r="J64" s="290">
        <v>3</v>
      </c>
      <c r="K64" s="291">
        <f t="shared" si="13"/>
        <v>60</v>
      </c>
      <c r="L64" s="290"/>
      <c r="M64" s="291">
        <f t="shared" si="14"/>
        <v>0</v>
      </c>
    </row>
    <row r="65" spans="1:13" ht="14.25" customHeight="1">
      <c r="A65" s="288"/>
      <c r="B65" s="292"/>
      <c r="C65" s="366" t="s">
        <v>377</v>
      </c>
      <c r="D65" s="366"/>
      <c r="E65" s="292">
        <f>SUM(E18:E64)</f>
        <v>58846</v>
      </c>
      <c r="F65" s="288"/>
      <c r="G65" s="292">
        <f>SUM(G18:G64)</f>
        <v>19854</v>
      </c>
      <c r="H65" s="287"/>
      <c r="I65" s="292">
        <f>SUM(I18:I64)</f>
        <v>9193</v>
      </c>
      <c r="J65" s="287"/>
      <c r="K65" s="292">
        <f>SUM(K18:K64)</f>
        <v>13316</v>
      </c>
      <c r="L65" s="287"/>
      <c r="M65" s="292">
        <f>SUM(M18:M64)</f>
        <v>16483</v>
      </c>
    </row>
    <row r="66" spans="1:13" ht="15.75">
      <c r="A66" s="287" t="s">
        <v>611</v>
      </c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</row>
    <row r="67" spans="1:13" ht="6" customHeight="1">
      <c r="A67" s="287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</row>
    <row r="68" spans="1:13" ht="15.75">
      <c r="A68" s="287" t="s">
        <v>359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</row>
    <row r="69" spans="1:13" ht="15.75">
      <c r="A69" s="369" t="s">
        <v>360</v>
      </c>
      <c r="B69" s="369" t="s">
        <v>361</v>
      </c>
      <c r="C69" s="369" t="s">
        <v>362</v>
      </c>
      <c r="D69" s="369" t="s">
        <v>363</v>
      </c>
      <c r="E69" s="369" t="s">
        <v>364</v>
      </c>
      <c r="F69" s="365" t="s">
        <v>365</v>
      </c>
      <c r="G69" s="365"/>
      <c r="H69" s="365" t="s">
        <v>366</v>
      </c>
      <c r="I69" s="365"/>
      <c r="J69" s="365" t="s">
        <v>367</v>
      </c>
      <c r="K69" s="365"/>
      <c r="L69" s="365" t="s">
        <v>368</v>
      </c>
      <c r="M69" s="365"/>
    </row>
    <row r="70" spans="1:13" ht="15.75">
      <c r="A70" s="370"/>
      <c r="B70" s="370"/>
      <c r="C70" s="370"/>
      <c r="D70" s="370"/>
      <c r="E70" s="370"/>
      <c r="F70" s="289" t="s">
        <v>369</v>
      </c>
      <c r="G70" s="289" t="s">
        <v>370</v>
      </c>
      <c r="H70" s="289" t="s">
        <v>369</v>
      </c>
      <c r="I70" s="289" t="s">
        <v>370</v>
      </c>
      <c r="J70" s="289" t="s">
        <v>369</v>
      </c>
      <c r="K70" s="289" t="s">
        <v>370</v>
      </c>
      <c r="L70" s="289" t="s">
        <v>369</v>
      </c>
      <c r="M70" s="289" t="s">
        <v>370</v>
      </c>
    </row>
    <row r="71" spans="1:13" ht="15.75">
      <c r="A71" s="290" t="s">
        <v>578</v>
      </c>
      <c r="B71" s="291">
        <v>5000</v>
      </c>
      <c r="C71" s="290">
        <v>1</v>
      </c>
      <c r="D71" s="290" t="s">
        <v>378</v>
      </c>
      <c r="E71" s="291">
        <f>B71*C71</f>
        <v>5000</v>
      </c>
      <c r="F71" s="290"/>
      <c r="G71" s="291">
        <f>B71*F71</f>
        <v>0</v>
      </c>
      <c r="H71" s="290">
        <v>1</v>
      </c>
      <c r="I71" s="291">
        <f>B71*H71</f>
        <v>5000</v>
      </c>
      <c r="J71" s="290"/>
      <c r="K71" s="291">
        <f>B71*J71</f>
        <v>0</v>
      </c>
      <c r="L71" s="290"/>
      <c r="M71" s="291">
        <f>B71*L71</f>
        <v>0</v>
      </c>
    </row>
    <row r="72" spans="1:13" ht="15.75">
      <c r="A72" s="301" t="s">
        <v>612</v>
      </c>
      <c r="B72" s="291">
        <v>4800</v>
      </c>
      <c r="C72" s="290">
        <v>1</v>
      </c>
      <c r="D72" s="290" t="s">
        <v>376</v>
      </c>
      <c r="E72" s="291">
        <f t="shared" ref="E72:E73" si="15">B72*C72</f>
        <v>4800</v>
      </c>
      <c r="F72" s="290">
        <v>1</v>
      </c>
      <c r="G72" s="291">
        <f t="shared" ref="G72:G73" si="16">B72*F72</f>
        <v>4800</v>
      </c>
      <c r="H72" s="290"/>
      <c r="I72" s="291">
        <f t="shared" ref="I72:I73" si="17">B72*H72</f>
        <v>0</v>
      </c>
      <c r="J72" s="290"/>
      <c r="K72" s="291">
        <f t="shared" ref="K72:K73" si="18">B72*J72</f>
        <v>0</v>
      </c>
      <c r="L72" s="290"/>
      <c r="M72" s="291">
        <f t="shared" ref="M72:M73" si="19">B72*L72</f>
        <v>0</v>
      </c>
    </row>
    <row r="73" spans="1:13" ht="15.75">
      <c r="A73" s="301" t="s">
        <v>613</v>
      </c>
      <c r="B73" s="291">
        <v>4200</v>
      </c>
      <c r="C73" s="290">
        <v>2</v>
      </c>
      <c r="D73" s="290" t="s">
        <v>376</v>
      </c>
      <c r="E73" s="291">
        <f t="shared" si="15"/>
        <v>8400</v>
      </c>
      <c r="F73" s="290"/>
      <c r="G73" s="291">
        <f t="shared" si="16"/>
        <v>0</v>
      </c>
      <c r="H73" s="290">
        <v>1</v>
      </c>
      <c r="I73" s="291">
        <f t="shared" si="17"/>
        <v>4200</v>
      </c>
      <c r="J73" s="290"/>
      <c r="K73" s="291">
        <f t="shared" si="18"/>
        <v>0</v>
      </c>
      <c r="L73" s="290">
        <v>1</v>
      </c>
      <c r="M73" s="291">
        <f t="shared" si="19"/>
        <v>4200</v>
      </c>
    </row>
    <row r="74" spans="1:13" ht="15.75">
      <c r="A74" s="288"/>
      <c r="B74" s="292"/>
      <c r="C74" s="366" t="s">
        <v>377</v>
      </c>
      <c r="D74" s="366"/>
      <c r="E74" s="292">
        <f>SUM(E71:E73)</f>
        <v>18200</v>
      </c>
      <c r="F74" s="288"/>
      <c r="G74" s="292">
        <f>SUM(G71:G73)</f>
        <v>4800</v>
      </c>
      <c r="H74" s="287"/>
      <c r="I74" s="292">
        <f>SUM(I71:I73)</f>
        <v>9200</v>
      </c>
      <c r="J74" s="287"/>
      <c r="K74" s="292">
        <f>SUM(K71:K73)</f>
        <v>0</v>
      </c>
      <c r="L74" s="287"/>
      <c r="M74" s="292">
        <f>SUM(M71:M73)</f>
        <v>4200</v>
      </c>
    </row>
    <row r="75" spans="1:13" ht="15.75">
      <c r="A75" s="287" t="s">
        <v>523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</row>
    <row r="76" spans="1:13" ht="15.75">
      <c r="A76" s="369" t="s">
        <v>360</v>
      </c>
      <c r="B76" s="369" t="s">
        <v>361</v>
      </c>
      <c r="C76" s="369" t="s">
        <v>362</v>
      </c>
      <c r="D76" s="369" t="s">
        <v>363</v>
      </c>
      <c r="E76" s="369" t="s">
        <v>364</v>
      </c>
      <c r="F76" s="365" t="s">
        <v>365</v>
      </c>
      <c r="G76" s="365"/>
      <c r="H76" s="365" t="s">
        <v>366</v>
      </c>
      <c r="I76" s="365"/>
      <c r="J76" s="365" t="s">
        <v>367</v>
      </c>
      <c r="K76" s="365"/>
      <c r="L76" s="365" t="s">
        <v>368</v>
      </c>
      <c r="M76" s="365"/>
    </row>
    <row r="77" spans="1:13" ht="15.75">
      <c r="A77" s="370"/>
      <c r="B77" s="370"/>
      <c r="C77" s="370"/>
      <c r="D77" s="370"/>
      <c r="E77" s="370"/>
      <c r="F77" s="289" t="s">
        <v>369</v>
      </c>
      <c r="G77" s="289" t="s">
        <v>370</v>
      </c>
      <c r="H77" s="289" t="s">
        <v>369</v>
      </c>
      <c r="I77" s="289" t="s">
        <v>370</v>
      </c>
      <c r="J77" s="289" t="s">
        <v>369</v>
      </c>
      <c r="K77" s="289" t="s">
        <v>370</v>
      </c>
      <c r="L77" s="289" t="s">
        <v>369</v>
      </c>
      <c r="M77" s="289" t="s">
        <v>370</v>
      </c>
    </row>
    <row r="78" spans="1:13" ht="15.75">
      <c r="A78" s="290" t="s">
        <v>497</v>
      </c>
      <c r="B78" s="291">
        <v>4</v>
      </c>
      <c r="C78" s="290">
        <v>48</v>
      </c>
      <c r="D78" s="290" t="s">
        <v>378</v>
      </c>
      <c r="E78" s="291">
        <f>B78*C78</f>
        <v>192</v>
      </c>
      <c r="F78" s="290">
        <v>12</v>
      </c>
      <c r="G78" s="291">
        <f>B78*F78</f>
        <v>48</v>
      </c>
      <c r="H78" s="290">
        <v>12</v>
      </c>
      <c r="I78" s="291">
        <f>B78*H78</f>
        <v>48</v>
      </c>
      <c r="J78" s="290">
        <v>12</v>
      </c>
      <c r="K78" s="291">
        <f>B78*J78</f>
        <v>48</v>
      </c>
      <c r="L78" s="290">
        <v>12</v>
      </c>
      <c r="M78" s="291">
        <f>B78*L78</f>
        <v>48</v>
      </c>
    </row>
    <row r="79" spans="1:13" ht="15.75">
      <c r="A79" s="290" t="s">
        <v>582</v>
      </c>
      <c r="B79" s="291">
        <v>10</v>
      </c>
      <c r="C79" s="290">
        <v>12</v>
      </c>
      <c r="D79" s="290" t="s">
        <v>378</v>
      </c>
      <c r="E79" s="291">
        <f t="shared" ref="E79:E99" si="20">B79*C79</f>
        <v>120</v>
      </c>
      <c r="F79" s="290">
        <v>12</v>
      </c>
      <c r="G79" s="291">
        <f t="shared" ref="G79:G99" si="21">B79*F79</f>
        <v>120</v>
      </c>
      <c r="H79" s="290"/>
      <c r="I79" s="291">
        <f t="shared" ref="I79:I99" si="22">B79*H79</f>
        <v>0</v>
      </c>
      <c r="J79" s="290"/>
      <c r="K79" s="291">
        <f t="shared" ref="K79:K112" si="23">B79*J79</f>
        <v>0</v>
      </c>
      <c r="L79" s="290"/>
      <c r="M79" s="291">
        <f t="shared" ref="M79:M112" si="24">B79*L79</f>
        <v>0</v>
      </c>
    </row>
    <row r="80" spans="1:13" ht="15.75">
      <c r="A80" s="290" t="s">
        <v>583</v>
      </c>
      <c r="B80" s="291">
        <v>142</v>
      </c>
      <c r="C80" s="290">
        <v>10</v>
      </c>
      <c r="D80" s="290" t="s">
        <v>500</v>
      </c>
      <c r="E80" s="291">
        <f t="shared" si="20"/>
        <v>1420</v>
      </c>
      <c r="F80" s="290">
        <v>5</v>
      </c>
      <c r="G80" s="291">
        <f t="shared" si="21"/>
        <v>710</v>
      </c>
      <c r="H80" s="290"/>
      <c r="I80" s="291">
        <f t="shared" si="22"/>
        <v>0</v>
      </c>
      <c r="J80" s="290">
        <v>5</v>
      </c>
      <c r="K80" s="291">
        <f t="shared" si="23"/>
        <v>710</v>
      </c>
      <c r="L80" s="290"/>
      <c r="M80" s="291">
        <f t="shared" si="24"/>
        <v>0</v>
      </c>
    </row>
    <row r="81" spans="1:13" ht="15.75">
      <c r="A81" s="290" t="s">
        <v>584</v>
      </c>
      <c r="B81" s="291">
        <v>120</v>
      </c>
      <c r="C81" s="290">
        <v>10</v>
      </c>
      <c r="D81" s="290" t="s">
        <v>500</v>
      </c>
      <c r="E81" s="291">
        <f t="shared" si="20"/>
        <v>1200</v>
      </c>
      <c r="F81" s="290">
        <v>5</v>
      </c>
      <c r="G81" s="291">
        <f t="shared" si="21"/>
        <v>600</v>
      </c>
      <c r="H81" s="290"/>
      <c r="I81" s="291">
        <f t="shared" si="22"/>
        <v>0</v>
      </c>
      <c r="J81" s="290">
        <v>5</v>
      </c>
      <c r="K81" s="291">
        <f t="shared" si="23"/>
        <v>600</v>
      </c>
      <c r="L81" s="290"/>
      <c r="M81" s="291">
        <f t="shared" si="24"/>
        <v>0</v>
      </c>
    </row>
    <row r="82" spans="1:13" ht="15.75">
      <c r="A82" s="290" t="s">
        <v>585</v>
      </c>
      <c r="B82" s="291">
        <v>180</v>
      </c>
      <c r="C82" s="290">
        <v>6</v>
      </c>
      <c r="D82" s="290" t="s">
        <v>500</v>
      </c>
      <c r="E82" s="291">
        <f t="shared" si="20"/>
        <v>1080</v>
      </c>
      <c r="F82" s="290">
        <v>3</v>
      </c>
      <c r="G82" s="291">
        <f t="shared" si="21"/>
        <v>540</v>
      </c>
      <c r="H82" s="290"/>
      <c r="I82" s="291">
        <f t="shared" si="22"/>
        <v>0</v>
      </c>
      <c r="J82" s="290">
        <v>3</v>
      </c>
      <c r="K82" s="291">
        <f t="shared" si="23"/>
        <v>540</v>
      </c>
      <c r="L82" s="290"/>
      <c r="M82" s="291">
        <f t="shared" si="24"/>
        <v>0</v>
      </c>
    </row>
    <row r="83" spans="1:13" ht="15.75">
      <c r="A83" s="301" t="s">
        <v>586</v>
      </c>
      <c r="B83" s="291">
        <v>155</v>
      </c>
      <c r="C83" s="290">
        <v>6</v>
      </c>
      <c r="D83" s="290" t="s">
        <v>500</v>
      </c>
      <c r="E83" s="291">
        <f t="shared" si="20"/>
        <v>930</v>
      </c>
      <c r="F83" s="290">
        <v>3</v>
      </c>
      <c r="G83" s="291">
        <f t="shared" si="21"/>
        <v>465</v>
      </c>
      <c r="H83" s="290"/>
      <c r="I83" s="291">
        <f t="shared" si="22"/>
        <v>0</v>
      </c>
      <c r="J83" s="290">
        <v>3</v>
      </c>
      <c r="K83" s="291">
        <f t="shared" si="23"/>
        <v>465</v>
      </c>
      <c r="L83" s="290"/>
      <c r="M83" s="291">
        <f t="shared" si="24"/>
        <v>0</v>
      </c>
    </row>
    <row r="84" spans="1:13" ht="15.75">
      <c r="A84" s="301" t="s">
        <v>587</v>
      </c>
      <c r="B84" s="291">
        <v>700</v>
      </c>
      <c r="C84" s="290">
        <v>1</v>
      </c>
      <c r="D84" s="290" t="s">
        <v>378</v>
      </c>
      <c r="E84" s="291">
        <f t="shared" si="20"/>
        <v>700</v>
      </c>
      <c r="F84" s="290">
        <v>1</v>
      </c>
      <c r="G84" s="291">
        <f t="shared" si="21"/>
        <v>700</v>
      </c>
      <c r="H84" s="290"/>
      <c r="I84" s="291">
        <f t="shared" si="22"/>
        <v>0</v>
      </c>
      <c r="J84" s="290"/>
      <c r="K84" s="291">
        <f t="shared" si="23"/>
        <v>0</v>
      </c>
      <c r="L84" s="290"/>
      <c r="M84" s="291">
        <f t="shared" si="24"/>
        <v>0</v>
      </c>
    </row>
    <row r="85" spans="1:13" ht="15.75">
      <c r="A85" s="290" t="s">
        <v>503</v>
      </c>
      <c r="B85" s="291">
        <v>19</v>
      </c>
      <c r="C85" s="290">
        <v>26</v>
      </c>
      <c r="D85" s="290" t="s">
        <v>378</v>
      </c>
      <c r="E85" s="291">
        <f t="shared" si="20"/>
        <v>494</v>
      </c>
      <c r="F85" s="290">
        <v>10</v>
      </c>
      <c r="G85" s="291">
        <f t="shared" si="21"/>
        <v>190</v>
      </c>
      <c r="H85" s="290">
        <v>10</v>
      </c>
      <c r="I85" s="291">
        <f t="shared" si="22"/>
        <v>190</v>
      </c>
      <c r="J85" s="290">
        <v>6</v>
      </c>
      <c r="K85" s="291">
        <f t="shared" si="23"/>
        <v>114</v>
      </c>
      <c r="L85" s="290"/>
      <c r="M85" s="291">
        <f t="shared" si="24"/>
        <v>0</v>
      </c>
    </row>
    <row r="86" spans="1:13" ht="15.75">
      <c r="A86" s="301" t="s">
        <v>614</v>
      </c>
      <c r="B86" s="291">
        <v>9</v>
      </c>
      <c r="C86" s="290">
        <v>1000</v>
      </c>
      <c r="D86" s="290" t="s">
        <v>378</v>
      </c>
      <c r="E86" s="291">
        <f t="shared" si="20"/>
        <v>9000</v>
      </c>
      <c r="F86" s="290"/>
      <c r="G86" s="291">
        <f t="shared" si="21"/>
        <v>0</v>
      </c>
      <c r="H86" s="290"/>
      <c r="I86" s="291">
        <f t="shared" si="22"/>
        <v>0</v>
      </c>
      <c r="J86" s="290">
        <v>1000</v>
      </c>
      <c r="K86" s="291">
        <f t="shared" si="23"/>
        <v>9000</v>
      </c>
      <c r="L86" s="290"/>
      <c r="M86" s="291">
        <f t="shared" si="24"/>
        <v>0</v>
      </c>
    </row>
    <row r="87" spans="1:13" ht="15.75">
      <c r="A87" s="290" t="s">
        <v>615</v>
      </c>
      <c r="B87" s="291">
        <v>250</v>
      </c>
      <c r="C87" s="290">
        <v>10</v>
      </c>
      <c r="D87" s="290" t="s">
        <v>500</v>
      </c>
      <c r="E87" s="291">
        <f t="shared" si="20"/>
        <v>2500</v>
      </c>
      <c r="F87" s="290">
        <v>5</v>
      </c>
      <c r="G87" s="291">
        <f t="shared" si="21"/>
        <v>1250</v>
      </c>
      <c r="H87" s="290"/>
      <c r="I87" s="291">
        <f t="shared" si="22"/>
        <v>0</v>
      </c>
      <c r="J87" s="290">
        <v>5</v>
      </c>
      <c r="K87" s="291">
        <f t="shared" si="23"/>
        <v>1250</v>
      </c>
      <c r="L87" s="290"/>
      <c r="M87" s="291">
        <f t="shared" si="24"/>
        <v>0</v>
      </c>
    </row>
    <row r="88" spans="1:13" ht="15.75">
      <c r="A88" s="290" t="s">
        <v>591</v>
      </c>
      <c r="B88" s="291">
        <v>100</v>
      </c>
      <c r="C88" s="290">
        <v>5</v>
      </c>
      <c r="D88" s="290" t="s">
        <v>378</v>
      </c>
      <c r="E88" s="291">
        <f t="shared" si="20"/>
        <v>500</v>
      </c>
      <c r="F88" s="290">
        <v>5</v>
      </c>
      <c r="G88" s="291">
        <f t="shared" si="21"/>
        <v>500</v>
      </c>
      <c r="H88" s="290"/>
      <c r="I88" s="291">
        <f t="shared" si="22"/>
        <v>0</v>
      </c>
      <c r="J88" s="290"/>
      <c r="K88" s="291">
        <f t="shared" si="23"/>
        <v>0</v>
      </c>
      <c r="L88" s="290"/>
      <c r="M88" s="291">
        <f t="shared" si="24"/>
        <v>0</v>
      </c>
    </row>
    <row r="89" spans="1:13" ht="15.75">
      <c r="A89" s="290" t="s">
        <v>504</v>
      </c>
      <c r="B89" s="291">
        <v>296</v>
      </c>
      <c r="C89" s="290">
        <v>10</v>
      </c>
      <c r="D89" s="290" t="s">
        <v>500</v>
      </c>
      <c r="E89" s="291">
        <f t="shared" si="20"/>
        <v>2960</v>
      </c>
      <c r="F89" s="290">
        <v>5</v>
      </c>
      <c r="G89" s="291">
        <f t="shared" si="21"/>
        <v>1480</v>
      </c>
      <c r="H89" s="290"/>
      <c r="I89" s="291">
        <f t="shared" si="22"/>
        <v>0</v>
      </c>
      <c r="J89" s="290">
        <v>5</v>
      </c>
      <c r="K89" s="291">
        <f t="shared" si="23"/>
        <v>1480</v>
      </c>
      <c r="L89" s="290"/>
      <c r="M89" s="291">
        <f t="shared" si="24"/>
        <v>0</v>
      </c>
    </row>
    <row r="90" spans="1:13" ht="15.75">
      <c r="A90" s="290" t="s">
        <v>616</v>
      </c>
      <c r="B90" s="291">
        <v>250</v>
      </c>
      <c r="C90" s="290">
        <v>10</v>
      </c>
      <c r="D90" s="290" t="s">
        <v>500</v>
      </c>
      <c r="E90" s="291">
        <f t="shared" si="20"/>
        <v>2500</v>
      </c>
      <c r="F90" s="290">
        <v>5</v>
      </c>
      <c r="G90" s="291">
        <f t="shared" si="21"/>
        <v>1250</v>
      </c>
      <c r="H90" s="290"/>
      <c r="I90" s="291">
        <f t="shared" si="22"/>
        <v>0</v>
      </c>
      <c r="J90" s="290">
        <v>5</v>
      </c>
      <c r="K90" s="291">
        <f t="shared" si="23"/>
        <v>1250</v>
      </c>
      <c r="L90" s="290"/>
      <c r="M90" s="291">
        <f t="shared" si="24"/>
        <v>0</v>
      </c>
    </row>
    <row r="91" spans="1:13" ht="15.75">
      <c r="A91" s="290" t="s">
        <v>594</v>
      </c>
      <c r="B91" s="291">
        <v>300</v>
      </c>
      <c r="C91" s="290">
        <v>3</v>
      </c>
      <c r="D91" s="290" t="s">
        <v>378</v>
      </c>
      <c r="E91" s="291">
        <f t="shared" si="20"/>
        <v>900</v>
      </c>
      <c r="F91" s="290">
        <v>1</v>
      </c>
      <c r="G91" s="291">
        <f t="shared" si="21"/>
        <v>300</v>
      </c>
      <c r="H91" s="290">
        <v>1</v>
      </c>
      <c r="I91" s="291">
        <f t="shared" si="22"/>
        <v>300</v>
      </c>
      <c r="J91" s="290">
        <v>1</v>
      </c>
      <c r="K91" s="291">
        <f t="shared" si="23"/>
        <v>300</v>
      </c>
      <c r="L91" s="290"/>
      <c r="M91" s="291">
        <f t="shared" si="24"/>
        <v>0</v>
      </c>
    </row>
    <row r="92" spans="1:13" ht="15.75">
      <c r="A92" s="299" t="s">
        <v>595</v>
      </c>
      <c r="B92" s="300">
        <v>50</v>
      </c>
      <c r="C92" s="299">
        <v>3</v>
      </c>
      <c r="D92" s="290" t="s">
        <v>378</v>
      </c>
      <c r="E92" s="291">
        <f t="shared" si="20"/>
        <v>150</v>
      </c>
      <c r="F92" s="290">
        <v>3</v>
      </c>
      <c r="G92" s="291">
        <f t="shared" si="21"/>
        <v>150</v>
      </c>
      <c r="H92" s="290"/>
      <c r="I92" s="291">
        <f t="shared" si="22"/>
        <v>0</v>
      </c>
      <c r="J92" s="290"/>
      <c r="K92" s="291">
        <f t="shared" si="23"/>
        <v>0</v>
      </c>
      <c r="L92" s="290"/>
      <c r="M92" s="291">
        <f t="shared" si="24"/>
        <v>0</v>
      </c>
    </row>
    <row r="93" spans="1:13" ht="15.75">
      <c r="A93" s="290" t="s">
        <v>596</v>
      </c>
      <c r="B93" s="291">
        <v>30</v>
      </c>
      <c r="C93" s="290">
        <v>4</v>
      </c>
      <c r="D93" s="290" t="s">
        <v>378</v>
      </c>
      <c r="E93" s="291">
        <f t="shared" si="20"/>
        <v>120</v>
      </c>
      <c r="F93" s="290">
        <v>1</v>
      </c>
      <c r="G93" s="291">
        <f t="shared" si="21"/>
        <v>30</v>
      </c>
      <c r="H93" s="290">
        <v>1</v>
      </c>
      <c r="I93" s="291">
        <f t="shared" si="22"/>
        <v>30</v>
      </c>
      <c r="J93" s="290">
        <v>1</v>
      </c>
      <c r="K93" s="291">
        <f t="shared" si="23"/>
        <v>30</v>
      </c>
      <c r="L93" s="290">
        <v>1</v>
      </c>
      <c r="M93" s="291">
        <f t="shared" si="24"/>
        <v>30</v>
      </c>
    </row>
    <row r="94" spans="1:13" ht="15.75">
      <c r="A94" s="290" t="s">
        <v>597</v>
      </c>
      <c r="B94" s="291">
        <v>1200</v>
      </c>
      <c r="C94" s="290">
        <v>4</v>
      </c>
      <c r="D94" s="290" t="s">
        <v>385</v>
      </c>
      <c r="E94" s="291">
        <f t="shared" si="20"/>
        <v>4800</v>
      </c>
      <c r="F94" s="290">
        <v>1</v>
      </c>
      <c r="G94" s="291">
        <f t="shared" si="21"/>
        <v>1200</v>
      </c>
      <c r="H94" s="290">
        <v>1</v>
      </c>
      <c r="I94" s="291">
        <f t="shared" si="22"/>
        <v>1200</v>
      </c>
      <c r="J94" s="290">
        <v>1</v>
      </c>
      <c r="K94" s="291">
        <f t="shared" si="23"/>
        <v>1200</v>
      </c>
      <c r="L94" s="290">
        <v>1</v>
      </c>
      <c r="M94" s="291">
        <f t="shared" si="24"/>
        <v>1200</v>
      </c>
    </row>
    <row r="95" spans="1:13" ht="15.75">
      <c r="A95" s="290" t="s">
        <v>598</v>
      </c>
      <c r="B95" s="291">
        <v>300</v>
      </c>
      <c r="C95" s="290">
        <v>12</v>
      </c>
      <c r="D95" s="290" t="s">
        <v>424</v>
      </c>
      <c r="E95" s="291">
        <f t="shared" si="20"/>
        <v>3600</v>
      </c>
      <c r="F95" s="290">
        <v>4</v>
      </c>
      <c r="G95" s="291">
        <f t="shared" si="21"/>
        <v>1200</v>
      </c>
      <c r="H95" s="290">
        <v>4</v>
      </c>
      <c r="I95" s="291">
        <f t="shared" si="22"/>
        <v>1200</v>
      </c>
      <c r="J95" s="290">
        <v>4</v>
      </c>
      <c r="K95" s="291">
        <f t="shared" si="23"/>
        <v>1200</v>
      </c>
      <c r="L95" s="290"/>
      <c r="M95" s="291">
        <f t="shared" si="24"/>
        <v>0</v>
      </c>
    </row>
    <row r="96" spans="1:13" ht="15.75">
      <c r="A96" s="290" t="s">
        <v>617</v>
      </c>
      <c r="B96" s="291">
        <v>200</v>
      </c>
      <c r="C96" s="290">
        <v>2</v>
      </c>
      <c r="D96" s="290" t="s">
        <v>378</v>
      </c>
      <c r="E96" s="291">
        <f t="shared" si="20"/>
        <v>400</v>
      </c>
      <c r="F96" s="290">
        <v>2</v>
      </c>
      <c r="G96" s="291">
        <f t="shared" si="21"/>
        <v>400</v>
      </c>
      <c r="H96" s="290"/>
      <c r="I96" s="291">
        <f t="shared" si="22"/>
        <v>0</v>
      </c>
      <c r="J96" s="290"/>
      <c r="K96" s="291">
        <f t="shared" si="23"/>
        <v>0</v>
      </c>
      <c r="L96" s="290"/>
      <c r="M96" s="291">
        <f t="shared" si="24"/>
        <v>0</v>
      </c>
    </row>
    <row r="97" spans="1:13" ht="15.75">
      <c r="A97" s="290" t="s">
        <v>506</v>
      </c>
      <c r="B97" s="291">
        <v>46</v>
      </c>
      <c r="C97" s="290">
        <v>6</v>
      </c>
      <c r="D97" s="290" t="s">
        <v>378</v>
      </c>
      <c r="E97" s="291">
        <f t="shared" si="20"/>
        <v>276</v>
      </c>
      <c r="F97" s="290">
        <v>3</v>
      </c>
      <c r="G97" s="291">
        <f t="shared" si="21"/>
        <v>138</v>
      </c>
      <c r="H97" s="290"/>
      <c r="I97" s="291">
        <f t="shared" si="22"/>
        <v>0</v>
      </c>
      <c r="J97" s="290">
        <v>3</v>
      </c>
      <c r="K97" s="291">
        <f t="shared" si="23"/>
        <v>138</v>
      </c>
      <c r="L97" s="290"/>
      <c r="M97" s="291">
        <f t="shared" si="24"/>
        <v>0</v>
      </c>
    </row>
    <row r="98" spans="1:13" ht="15.75">
      <c r="A98" s="290" t="s">
        <v>507</v>
      </c>
      <c r="B98" s="291">
        <v>15</v>
      </c>
      <c r="C98" s="290">
        <v>20</v>
      </c>
      <c r="D98" s="290" t="s">
        <v>385</v>
      </c>
      <c r="E98" s="291">
        <f t="shared" si="20"/>
        <v>300</v>
      </c>
      <c r="F98" s="290">
        <v>5</v>
      </c>
      <c r="G98" s="291">
        <f t="shared" si="21"/>
        <v>75</v>
      </c>
      <c r="H98" s="290">
        <v>5</v>
      </c>
      <c r="I98" s="291">
        <f t="shared" si="22"/>
        <v>75</v>
      </c>
      <c r="J98" s="290">
        <v>5</v>
      </c>
      <c r="K98" s="291">
        <f t="shared" si="23"/>
        <v>75</v>
      </c>
      <c r="L98" s="290">
        <v>5</v>
      </c>
      <c r="M98" s="291">
        <f t="shared" si="24"/>
        <v>75</v>
      </c>
    </row>
    <row r="99" spans="1:13" ht="15.75">
      <c r="A99" s="290" t="s">
        <v>508</v>
      </c>
      <c r="B99" s="291">
        <v>24</v>
      </c>
      <c r="C99" s="290">
        <v>10</v>
      </c>
      <c r="D99" s="290" t="s">
        <v>385</v>
      </c>
      <c r="E99" s="291">
        <f t="shared" si="20"/>
        <v>240</v>
      </c>
      <c r="F99" s="290">
        <v>5</v>
      </c>
      <c r="G99" s="291">
        <f t="shared" si="21"/>
        <v>120</v>
      </c>
      <c r="H99" s="290"/>
      <c r="I99" s="291">
        <f t="shared" si="22"/>
        <v>0</v>
      </c>
      <c r="J99" s="290">
        <v>5</v>
      </c>
      <c r="K99" s="291">
        <f t="shared" si="23"/>
        <v>120</v>
      </c>
      <c r="L99" s="290"/>
      <c r="M99" s="291">
        <f t="shared" si="24"/>
        <v>0</v>
      </c>
    </row>
    <row r="100" spans="1:13" ht="15.75">
      <c r="A100" s="290" t="s">
        <v>556</v>
      </c>
      <c r="B100" s="291">
        <v>400</v>
      </c>
      <c r="C100" s="290">
        <v>2</v>
      </c>
      <c r="D100" s="290" t="s">
        <v>378</v>
      </c>
      <c r="E100" s="291">
        <f t="shared" ref="E100:E112" si="25">B100*C100</f>
        <v>800</v>
      </c>
      <c r="F100" s="290">
        <v>2</v>
      </c>
      <c r="G100" s="291">
        <f t="shared" ref="G100:G112" si="26">B100*F100</f>
        <v>800</v>
      </c>
      <c r="H100" s="290"/>
      <c r="I100" s="291">
        <f t="shared" ref="I100:I112" si="27">B100*H100</f>
        <v>0</v>
      </c>
      <c r="J100" s="290"/>
      <c r="K100" s="291">
        <f t="shared" si="23"/>
        <v>0</v>
      </c>
      <c r="L100" s="290"/>
      <c r="M100" s="291">
        <f t="shared" si="24"/>
        <v>0</v>
      </c>
    </row>
    <row r="101" spans="1:13" ht="15.75">
      <c r="A101" s="290" t="s">
        <v>618</v>
      </c>
      <c r="B101" s="291">
        <v>250</v>
      </c>
      <c r="C101" s="290">
        <v>2</v>
      </c>
      <c r="D101" s="290" t="s">
        <v>500</v>
      </c>
      <c r="E101" s="291">
        <f t="shared" si="25"/>
        <v>500</v>
      </c>
      <c r="F101" s="290">
        <v>1</v>
      </c>
      <c r="G101" s="291">
        <f t="shared" si="26"/>
        <v>250</v>
      </c>
      <c r="H101" s="302"/>
      <c r="I101" s="291">
        <f t="shared" si="27"/>
        <v>0</v>
      </c>
      <c r="J101" s="290">
        <v>1</v>
      </c>
      <c r="K101" s="291">
        <f t="shared" si="23"/>
        <v>250</v>
      </c>
      <c r="L101" s="302"/>
      <c r="M101" s="291">
        <f t="shared" si="24"/>
        <v>0</v>
      </c>
    </row>
    <row r="102" spans="1:13" ht="15.75">
      <c r="A102" s="290" t="s">
        <v>600</v>
      </c>
      <c r="B102" s="291">
        <v>5</v>
      </c>
      <c r="C102" s="290">
        <v>4</v>
      </c>
      <c r="D102" s="290" t="s">
        <v>374</v>
      </c>
      <c r="E102" s="291">
        <f t="shared" si="25"/>
        <v>20</v>
      </c>
      <c r="F102" s="290">
        <v>1</v>
      </c>
      <c r="G102" s="291">
        <f t="shared" si="26"/>
        <v>5</v>
      </c>
      <c r="H102" s="290">
        <v>1</v>
      </c>
      <c r="I102" s="291">
        <f t="shared" si="27"/>
        <v>5</v>
      </c>
      <c r="J102" s="290">
        <v>1</v>
      </c>
      <c r="K102" s="291">
        <f t="shared" si="23"/>
        <v>5</v>
      </c>
      <c r="L102" s="290">
        <v>1</v>
      </c>
      <c r="M102" s="291">
        <f t="shared" si="24"/>
        <v>5</v>
      </c>
    </row>
    <row r="103" spans="1:13" ht="15.75">
      <c r="A103" s="290" t="s">
        <v>601</v>
      </c>
      <c r="B103" s="291">
        <v>24</v>
      </c>
      <c r="C103" s="290">
        <v>4</v>
      </c>
      <c r="D103" s="290" t="s">
        <v>378</v>
      </c>
      <c r="E103" s="291">
        <f t="shared" si="25"/>
        <v>96</v>
      </c>
      <c r="F103" s="290">
        <v>1</v>
      </c>
      <c r="G103" s="291">
        <f t="shared" si="26"/>
        <v>24</v>
      </c>
      <c r="H103" s="290">
        <v>1</v>
      </c>
      <c r="I103" s="291">
        <f t="shared" si="27"/>
        <v>24</v>
      </c>
      <c r="J103" s="290">
        <v>1</v>
      </c>
      <c r="K103" s="291">
        <f t="shared" si="23"/>
        <v>24</v>
      </c>
      <c r="L103" s="290">
        <v>1</v>
      </c>
      <c r="M103" s="291">
        <f t="shared" si="24"/>
        <v>24</v>
      </c>
    </row>
    <row r="104" spans="1:13" ht="15.75">
      <c r="A104" s="299" t="s">
        <v>602</v>
      </c>
      <c r="B104" s="300">
        <v>550</v>
      </c>
      <c r="C104" s="299">
        <v>2</v>
      </c>
      <c r="D104" s="299" t="s">
        <v>378</v>
      </c>
      <c r="E104" s="291">
        <f t="shared" si="25"/>
        <v>1100</v>
      </c>
      <c r="F104" s="290">
        <v>2</v>
      </c>
      <c r="G104" s="291">
        <f t="shared" si="26"/>
        <v>1100</v>
      </c>
      <c r="H104" s="290"/>
      <c r="I104" s="291">
        <f t="shared" si="27"/>
        <v>0</v>
      </c>
      <c r="J104" s="290"/>
      <c r="K104" s="291">
        <f t="shared" si="23"/>
        <v>0</v>
      </c>
      <c r="L104" s="290"/>
      <c r="M104" s="291">
        <f t="shared" si="24"/>
        <v>0</v>
      </c>
    </row>
    <row r="105" spans="1:13" ht="15.75">
      <c r="A105" s="299" t="s">
        <v>619</v>
      </c>
      <c r="B105" s="300">
        <v>250</v>
      </c>
      <c r="C105" s="299">
        <v>10</v>
      </c>
      <c r="D105" s="299" t="s">
        <v>500</v>
      </c>
      <c r="E105" s="291">
        <f t="shared" si="25"/>
        <v>2500</v>
      </c>
      <c r="F105" s="290">
        <v>5</v>
      </c>
      <c r="G105" s="291">
        <f t="shared" si="26"/>
        <v>1250</v>
      </c>
      <c r="H105" s="290"/>
      <c r="I105" s="291">
        <f t="shared" si="27"/>
        <v>0</v>
      </c>
      <c r="J105" s="290">
        <v>5</v>
      </c>
      <c r="K105" s="291">
        <f t="shared" si="23"/>
        <v>1250</v>
      </c>
      <c r="L105" s="290"/>
      <c r="M105" s="291">
        <f t="shared" si="24"/>
        <v>0</v>
      </c>
    </row>
    <row r="106" spans="1:13" ht="15.75">
      <c r="A106" s="290" t="s">
        <v>511</v>
      </c>
      <c r="B106" s="291">
        <v>7</v>
      </c>
      <c r="C106" s="290">
        <v>32</v>
      </c>
      <c r="D106" s="290" t="s">
        <v>385</v>
      </c>
      <c r="E106" s="291">
        <f t="shared" si="25"/>
        <v>224</v>
      </c>
      <c r="F106" s="290">
        <v>8</v>
      </c>
      <c r="G106" s="291">
        <f t="shared" si="26"/>
        <v>56</v>
      </c>
      <c r="H106" s="290">
        <v>8</v>
      </c>
      <c r="I106" s="291">
        <f t="shared" si="27"/>
        <v>56</v>
      </c>
      <c r="J106" s="290">
        <v>8</v>
      </c>
      <c r="K106" s="291">
        <f t="shared" si="23"/>
        <v>56</v>
      </c>
      <c r="L106" s="290">
        <v>8</v>
      </c>
      <c r="M106" s="291">
        <f t="shared" si="24"/>
        <v>56</v>
      </c>
    </row>
    <row r="107" spans="1:13" ht="15.75">
      <c r="A107" s="290" t="s">
        <v>620</v>
      </c>
      <c r="B107" s="291">
        <v>250</v>
      </c>
      <c r="C107" s="290">
        <v>2</v>
      </c>
      <c r="D107" s="290" t="s">
        <v>378</v>
      </c>
      <c r="E107" s="291">
        <f t="shared" si="25"/>
        <v>500</v>
      </c>
      <c r="F107" s="290">
        <v>2</v>
      </c>
      <c r="G107" s="291">
        <f t="shared" si="26"/>
        <v>500</v>
      </c>
      <c r="H107" s="290"/>
      <c r="I107" s="291">
        <f t="shared" si="27"/>
        <v>0</v>
      </c>
      <c r="J107" s="290"/>
      <c r="K107" s="291">
        <f t="shared" si="23"/>
        <v>0</v>
      </c>
      <c r="L107" s="290"/>
      <c r="M107" s="291">
        <f t="shared" si="24"/>
        <v>0</v>
      </c>
    </row>
    <row r="108" spans="1:13" ht="15.75">
      <c r="A108" s="290" t="s">
        <v>606</v>
      </c>
      <c r="B108" s="291">
        <v>35</v>
      </c>
      <c r="C108" s="290">
        <v>1</v>
      </c>
      <c r="D108" s="290" t="s">
        <v>378</v>
      </c>
      <c r="E108" s="291">
        <f t="shared" si="25"/>
        <v>35</v>
      </c>
      <c r="F108" s="290">
        <v>1</v>
      </c>
      <c r="G108" s="291">
        <f t="shared" si="26"/>
        <v>35</v>
      </c>
      <c r="H108" s="290"/>
      <c r="I108" s="291">
        <f t="shared" si="27"/>
        <v>0</v>
      </c>
      <c r="J108" s="290"/>
      <c r="K108" s="291">
        <f t="shared" si="23"/>
        <v>0</v>
      </c>
      <c r="L108" s="290"/>
      <c r="M108" s="291">
        <f t="shared" si="24"/>
        <v>0</v>
      </c>
    </row>
    <row r="109" spans="1:13" ht="15.75">
      <c r="A109" s="299" t="s">
        <v>513</v>
      </c>
      <c r="B109" s="300">
        <v>17</v>
      </c>
      <c r="C109" s="299">
        <v>48</v>
      </c>
      <c r="D109" s="299" t="s">
        <v>378</v>
      </c>
      <c r="E109" s="291">
        <f t="shared" si="25"/>
        <v>816</v>
      </c>
      <c r="F109" s="290">
        <v>12</v>
      </c>
      <c r="G109" s="291">
        <f t="shared" si="26"/>
        <v>204</v>
      </c>
      <c r="H109" s="290">
        <v>12</v>
      </c>
      <c r="I109" s="291">
        <f t="shared" si="27"/>
        <v>204</v>
      </c>
      <c r="J109" s="290">
        <v>12</v>
      </c>
      <c r="K109" s="291">
        <f t="shared" si="23"/>
        <v>204</v>
      </c>
      <c r="L109" s="290">
        <v>12</v>
      </c>
      <c r="M109" s="291">
        <f t="shared" si="24"/>
        <v>204</v>
      </c>
    </row>
    <row r="110" spans="1:13" ht="15.75">
      <c r="A110" s="290" t="s">
        <v>608</v>
      </c>
      <c r="B110" s="291">
        <v>40</v>
      </c>
      <c r="C110" s="290">
        <v>2</v>
      </c>
      <c r="D110" s="290" t="s">
        <v>378</v>
      </c>
      <c r="E110" s="291">
        <f t="shared" si="25"/>
        <v>80</v>
      </c>
      <c r="F110" s="290">
        <v>2</v>
      </c>
      <c r="G110" s="291">
        <f t="shared" si="26"/>
        <v>80</v>
      </c>
      <c r="H110" s="290"/>
      <c r="I110" s="291">
        <f t="shared" si="27"/>
        <v>0</v>
      </c>
      <c r="J110" s="290"/>
      <c r="K110" s="291">
        <f t="shared" si="23"/>
        <v>0</v>
      </c>
      <c r="L110" s="290"/>
      <c r="M110" s="291">
        <f t="shared" si="24"/>
        <v>0</v>
      </c>
    </row>
    <row r="111" spans="1:13" ht="15.75">
      <c r="A111" s="290" t="s">
        <v>514</v>
      </c>
      <c r="B111" s="291">
        <v>35</v>
      </c>
      <c r="C111" s="290">
        <v>20</v>
      </c>
      <c r="D111" s="290" t="s">
        <v>385</v>
      </c>
      <c r="E111" s="291">
        <f t="shared" si="25"/>
        <v>700</v>
      </c>
      <c r="F111" s="290">
        <v>5</v>
      </c>
      <c r="G111" s="291">
        <f t="shared" si="26"/>
        <v>175</v>
      </c>
      <c r="H111" s="290">
        <v>5</v>
      </c>
      <c r="I111" s="291">
        <f t="shared" si="27"/>
        <v>175</v>
      </c>
      <c r="J111" s="290">
        <v>5</v>
      </c>
      <c r="K111" s="291">
        <f t="shared" si="23"/>
        <v>175</v>
      </c>
      <c r="L111" s="290">
        <v>5</v>
      </c>
      <c r="M111" s="291">
        <f t="shared" si="24"/>
        <v>175</v>
      </c>
    </row>
    <row r="112" spans="1:13" ht="15.75">
      <c r="A112" s="290" t="s">
        <v>621</v>
      </c>
      <c r="B112" s="291">
        <v>200</v>
      </c>
      <c r="C112" s="290">
        <v>6</v>
      </c>
      <c r="D112" s="290" t="s">
        <v>378</v>
      </c>
      <c r="E112" s="291">
        <f t="shared" si="25"/>
        <v>1200</v>
      </c>
      <c r="F112" s="290">
        <v>6</v>
      </c>
      <c r="G112" s="291">
        <f t="shared" si="26"/>
        <v>1200</v>
      </c>
      <c r="H112" s="290"/>
      <c r="I112" s="291">
        <f t="shared" si="27"/>
        <v>0</v>
      </c>
      <c r="J112" s="290"/>
      <c r="K112" s="291">
        <f t="shared" si="23"/>
        <v>0</v>
      </c>
      <c r="L112" s="290"/>
      <c r="M112" s="291">
        <f t="shared" si="24"/>
        <v>0</v>
      </c>
    </row>
    <row r="113" spans="1:13" ht="15.75">
      <c r="A113" s="303"/>
      <c r="B113" s="303"/>
      <c r="C113" s="366" t="s">
        <v>377</v>
      </c>
      <c r="D113" s="366"/>
      <c r="E113" s="292">
        <f>SUM(E78:E112)</f>
        <v>42953</v>
      </c>
      <c r="F113" s="303"/>
      <c r="G113" s="292">
        <f>SUM(G78:G112)</f>
        <v>17145</v>
      </c>
      <c r="H113" s="287"/>
      <c r="I113" s="292">
        <f>SUM(I78:I112)</f>
        <v>3507</v>
      </c>
      <c r="J113" s="287"/>
      <c r="K113" s="292">
        <f>SUM(K78:K112)</f>
        <v>20484</v>
      </c>
      <c r="L113" s="287"/>
      <c r="M113" s="292">
        <f>SUM(M78:M112)</f>
        <v>1817</v>
      </c>
    </row>
    <row r="114" spans="1:13" ht="15.75">
      <c r="A114" s="303"/>
      <c r="B114" s="303"/>
      <c r="C114" s="304"/>
      <c r="D114" s="304"/>
      <c r="E114" s="292"/>
      <c r="F114" s="303"/>
      <c r="G114" s="292"/>
      <c r="H114" s="287"/>
      <c r="I114" s="292"/>
      <c r="J114" s="287"/>
      <c r="K114" s="292"/>
      <c r="L114" s="287"/>
      <c r="M114" s="292"/>
    </row>
    <row r="115" spans="1:13" ht="15.75">
      <c r="A115" s="287" t="s">
        <v>622</v>
      </c>
      <c r="B115" s="288"/>
      <c r="C115" s="288"/>
      <c r="D115" s="288"/>
      <c r="E115" s="288"/>
      <c r="F115" s="288"/>
      <c r="G115" s="288"/>
      <c r="H115" s="288"/>
      <c r="I115" s="288"/>
      <c r="J115" s="288"/>
      <c r="K115" s="288"/>
      <c r="L115" s="288"/>
      <c r="M115" s="288"/>
    </row>
    <row r="116" spans="1:13" ht="15.75">
      <c r="A116" s="288"/>
      <c r="B116" s="288"/>
      <c r="C116" s="288"/>
      <c r="D116" s="288"/>
      <c r="E116" s="288"/>
      <c r="F116" s="288"/>
      <c r="G116" s="288"/>
      <c r="H116" s="288"/>
      <c r="I116" s="288"/>
      <c r="J116" s="288"/>
      <c r="K116" s="288"/>
      <c r="L116" s="288"/>
      <c r="M116" s="288"/>
    </row>
    <row r="117" spans="1:13" ht="15.75">
      <c r="A117" s="287" t="s">
        <v>359</v>
      </c>
      <c r="B117" s="288"/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</row>
    <row r="118" spans="1:13" ht="15.75">
      <c r="A118" s="369" t="s">
        <v>360</v>
      </c>
      <c r="B118" s="369" t="s">
        <v>361</v>
      </c>
      <c r="C118" s="369" t="s">
        <v>362</v>
      </c>
      <c r="D118" s="369" t="s">
        <v>363</v>
      </c>
      <c r="E118" s="369" t="s">
        <v>364</v>
      </c>
      <c r="F118" s="365" t="s">
        <v>365</v>
      </c>
      <c r="G118" s="365"/>
      <c r="H118" s="365" t="s">
        <v>366</v>
      </c>
      <c r="I118" s="365"/>
      <c r="J118" s="365" t="s">
        <v>367</v>
      </c>
      <c r="K118" s="365"/>
      <c r="L118" s="365" t="s">
        <v>368</v>
      </c>
      <c r="M118" s="365"/>
    </row>
    <row r="119" spans="1:13" ht="15.75">
      <c r="A119" s="370"/>
      <c r="B119" s="370"/>
      <c r="C119" s="370"/>
      <c r="D119" s="370"/>
      <c r="E119" s="370"/>
      <c r="F119" s="289" t="s">
        <v>369</v>
      </c>
      <c r="G119" s="289" t="s">
        <v>370</v>
      </c>
      <c r="H119" s="289" t="s">
        <v>369</v>
      </c>
      <c r="I119" s="289" t="s">
        <v>370</v>
      </c>
      <c r="J119" s="289" t="s">
        <v>369</v>
      </c>
      <c r="K119" s="289" t="s">
        <v>370</v>
      </c>
      <c r="L119" s="289" t="s">
        <v>369</v>
      </c>
      <c r="M119" s="289" t="s">
        <v>370</v>
      </c>
    </row>
    <row r="120" spans="1:13" ht="15.75">
      <c r="A120" s="290" t="s">
        <v>371</v>
      </c>
      <c r="B120" s="291">
        <v>15000</v>
      </c>
      <c r="C120" s="290">
        <v>1</v>
      </c>
      <c r="D120" s="290" t="s">
        <v>372</v>
      </c>
      <c r="E120" s="291">
        <f>B120*C120</f>
        <v>15000</v>
      </c>
      <c r="F120" s="290">
        <v>1</v>
      </c>
      <c r="G120" s="291">
        <f>B120*F120</f>
        <v>15000</v>
      </c>
      <c r="H120" s="290"/>
      <c r="I120" s="291">
        <f>B120*H120</f>
        <v>0</v>
      </c>
      <c r="J120" s="290"/>
      <c r="K120" s="291">
        <f>B120*J120</f>
        <v>0</v>
      </c>
      <c r="L120" s="290"/>
      <c r="M120" s="291">
        <f>B120*L120</f>
        <v>0</v>
      </c>
    </row>
    <row r="121" spans="1:13" ht="15.75">
      <c r="A121" s="290" t="s">
        <v>623</v>
      </c>
      <c r="B121" s="291">
        <v>1700</v>
      </c>
      <c r="C121" s="290">
        <v>1</v>
      </c>
      <c r="D121" s="290" t="s">
        <v>566</v>
      </c>
      <c r="E121" s="291">
        <f t="shared" ref="E121:E123" si="28">B121*C121</f>
        <v>1700</v>
      </c>
      <c r="F121" s="290"/>
      <c r="G121" s="291">
        <f t="shared" ref="G121:G123" si="29">B121*F121</f>
        <v>0</v>
      </c>
      <c r="H121" s="290">
        <v>1</v>
      </c>
      <c r="I121" s="291">
        <f t="shared" ref="I121:I123" si="30">B121*H121</f>
        <v>1700</v>
      </c>
      <c r="J121" s="290"/>
      <c r="K121" s="291">
        <f t="shared" ref="K121:K123" si="31">B121*J121</f>
        <v>0</v>
      </c>
      <c r="L121" s="290"/>
      <c r="M121" s="291">
        <f t="shared" ref="M121:M123" si="32">B121*L121</f>
        <v>0</v>
      </c>
    </row>
    <row r="122" spans="1:13" ht="15.75">
      <c r="A122" s="290" t="s">
        <v>578</v>
      </c>
      <c r="B122" s="291">
        <v>5000</v>
      </c>
      <c r="C122" s="290">
        <v>1</v>
      </c>
      <c r="D122" s="290" t="s">
        <v>374</v>
      </c>
      <c r="E122" s="291">
        <f t="shared" si="28"/>
        <v>5000</v>
      </c>
      <c r="F122" s="290">
        <v>1</v>
      </c>
      <c r="G122" s="291">
        <f t="shared" si="29"/>
        <v>5000</v>
      </c>
      <c r="H122" s="290"/>
      <c r="I122" s="291">
        <f t="shared" si="30"/>
        <v>0</v>
      </c>
      <c r="J122" s="290"/>
      <c r="K122" s="291">
        <f t="shared" si="31"/>
        <v>0</v>
      </c>
      <c r="L122" s="290"/>
      <c r="M122" s="291">
        <f t="shared" si="32"/>
        <v>0</v>
      </c>
    </row>
    <row r="123" spans="1:13" ht="15.75">
      <c r="A123" s="290" t="s">
        <v>624</v>
      </c>
      <c r="B123" s="291">
        <v>4200</v>
      </c>
      <c r="C123" s="290">
        <v>1</v>
      </c>
      <c r="D123" s="290" t="s">
        <v>376</v>
      </c>
      <c r="E123" s="291">
        <f t="shared" si="28"/>
        <v>4200</v>
      </c>
      <c r="F123" s="290"/>
      <c r="G123" s="291">
        <f t="shared" si="29"/>
        <v>0</v>
      </c>
      <c r="H123" s="290">
        <v>1</v>
      </c>
      <c r="I123" s="291">
        <f t="shared" si="30"/>
        <v>4200</v>
      </c>
      <c r="J123" s="290"/>
      <c r="K123" s="291">
        <f t="shared" si="31"/>
        <v>0</v>
      </c>
      <c r="L123" s="290"/>
      <c r="M123" s="291">
        <f t="shared" si="32"/>
        <v>0</v>
      </c>
    </row>
    <row r="124" spans="1:13" ht="15.75">
      <c r="A124" s="288"/>
      <c r="B124" s="293"/>
      <c r="C124" s="366" t="s">
        <v>377</v>
      </c>
      <c r="D124" s="366"/>
      <c r="E124" s="292">
        <f>SUM(E120:E123)</f>
        <v>25900</v>
      </c>
      <c r="F124" s="288"/>
      <c r="G124" s="292">
        <f>SUM(G120:G123)</f>
        <v>20000</v>
      </c>
      <c r="H124" s="287"/>
      <c r="I124" s="292">
        <f>SUM(I120:I123)</f>
        <v>5900</v>
      </c>
      <c r="J124" s="287"/>
      <c r="K124" s="292">
        <f>SUM(K120:K123)</f>
        <v>0</v>
      </c>
      <c r="L124" s="287"/>
      <c r="M124" s="292">
        <f>SUM(M120:M123)</f>
        <v>0</v>
      </c>
    </row>
    <row r="125" spans="1:13" ht="15.75">
      <c r="A125" s="287" t="s">
        <v>523</v>
      </c>
      <c r="B125" s="288"/>
      <c r="C125" s="288"/>
      <c r="D125" s="288"/>
      <c r="E125" s="288"/>
      <c r="F125" s="288"/>
      <c r="G125" s="288"/>
      <c r="H125" s="288"/>
      <c r="I125" s="288"/>
      <c r="J125" s="288"/>
      <c r="K125" s="288"/>
      <c r="L125" s="288"/>
      <c r="M125" s="288"/>
    </row>
    <row r="126" spans="1:13" ht="15.75">
      <c r="A126" s="369" t="s">
        <v>360</v>
      </c>
      <c r="B126" s="369" t="s">
        <v>361</v>
      </c>
      <c r="C126" s="369" t="s">
        <v>362</v>
      </c>
      <c r="D126" s="369" t="s">
        <v>363</v>
      </c>
      <c r="E126" s="369" t="s">
        <v>364</v>
      </c>
      <c r="F126" s="365" t="s">
        <v>365</v>
      </c>
      <c r="G126" s="365"/>
      <c r="H126" s="365" t="s">
        <v>366</v>
      </c>
      <c r="I126" s="365"/>
      <c r="J126" s="365" t="s">
        <v>367</v>
      </c>
      <c r="K126" s="365"/>
      <c r="L126" s="365" t="s">
        <v>368</v>
      </c>
      <c r="M126" s="365"/>
    </row>
    <row r="127" spans="1:13" ht="15.75">
      <c r="A127" s="370"/>
      <c r="B127" s="370"/>
      <c r="C127" s="370"/>
      <c r="D127" s="370"/>
      <c r="E127" s="370"/>
      <c r="F127" s="289" t="s">
        <v>369</v>
      </c>
      <c r="G127" s="289" t="s">
        <v>370</v>
      </c>
      <c r="H127" s="289" t="s">
        <v>369</v>
      </c>
      <c r="I127" s="289" t="s">
        <v>370</v>
      </c>
      <c r="J127" s="289" t="s">
        <v>369</v>
      </c>
      <c r="K127" s="289" t="s">
        <v>370</v>
      </c>
      <c r="L127" s="289" t="s">
        <v>369</v>
      </c>
      <c r="M127" s="289" t="s">
        <v>370</v>
      </c>
    </row>
    <row r="128" spans="1:13" ht="15.75">
      <c r="A128" s="290" t="s">
        <v>497</v>
      </c>
      <c r="B128" s="291">
        <v>4</v>
      </c>
      <c r="C128" s="290">
        <v>48</v>
      </c>
      <c r="D128" s="290" t="s">
        <v>378</v>
      </c>
      <c r="E128" s="291">
        <f>B128*C128</f>
        <v>192</v>
      </c>
      <c r="F128" s="290">
        <v>12</v>
      </c>
      <c r="G128" s="291">
        <f>B128*F128</f>
        <v>48</v>
      </c>
      <c r="H128" s="290">
        <v>12</v>
      </c>
      <c r="I128" s="291">
        <f>B128*H128</f>
        <v>48</v>
      </c>
      <c r="J128" s="290">
        <v>12</v>
      </c>
      <c r="K128" s="291">
        <f>B128*J128</f>
        <v>48</v>
      </c>
      <c r="L128" s="290">
        <v>12</v>
      </c>
      <c r="M128" s="291">
        <f>B128*L128</f>
        <v>48</v>
      </c>
    </row>
    <row r="129" spans="1:13" ht="15.75">
      <c r="A129" s="290" t="s">
        <v>583</v>
      </c>
      <c r="B129" s="291">
        <v>142</v>
      </c>
      <c r="C129" s="290">
        <v>5</v>
      </c>
      <c r="D129" s="290" t="s">
        <v>500</v>
      </c>
      <c r="E129" s="291">
        <f t="shared" ref="E129:E130" si="33">B129*C129</f>
        <v>710</v>
      </c>
      <c r="F129" s="290">
        <v>5</v>
      </c>
      <c r="G129" s="291">
        <f t="shared" ref="G129:G130" si="34">B129*F129</f>
        <v>710</v>
      </c>
      <c r="H129" s="290"/>
      <c r="I129" s="291">
        <f t="shared" ref="I129:I130" si="35">B129*H129</f>
        <v>0</v>
      </c>
      <c r="J129" s="290"/>
      <c r="K129" s="291">
        <f t="shared" ref="K129:K130" si="36">B129*J129</f>
        <v>0</v>
      </c>
      <c r="L129" s="290"/>
      <c r="M129" s="291">
        <f t="shared" ref="M129:M130" si="37">B129*L129</f>
        <v>0</v>
      </c>
    </row>
    <row r="130" spans="1:13" ht="15.75">
      <c r="A130" s="290" t="s">
        <v>584</v>
      </c>
      <c r="B130" s="291">
        <v>120</v>
      </c>
      <c r="C130" s="290">
        <v>1</v>
      </c>
      <c r="D130" s="290" t="s">
        <v>500</v>
      </c>
      <c r="E130" s="291">
        <f t="shared" si="33"/>
        <v>120</v>
      </c>
      <c r="F130" s="290">
        <v>1</v>
      </c>
      <c r="G130" s="291">
        <f t="shared" si="34"/>
        <v>120</v>
      </c>
      <c r="H130" s="290"/>
      <c r="I130" s="291">
        <f t="shared" si="35"/>
        <v>0</v>
      </c>
      <c r="J130" s="290"/>
      <c r="K130" s="291">
        <f t="shared" si="36"/>
        <v>0</v>
      </c>
      <c r="L130" s="290"/>
      <c r="M130" s="291">
        <f t="shared" si="37"/>
        <v>0</v>
      </c>
    </row>
    <row r="131" spans="1:13" ht="15.75">
      <c r="A131" s="290" t="s">
        <v>587</v>
      </c>
      <c r="B131" s="291">
        <v>700</v>
      </c>
      <c r="C131" s="290">
        <v>3</v>
      </c>
      <c r="D131" s="290" t="s">
        <v>378</v>
      </c>
      <c r="E131" s="291">
        <f t="shared" ref="E131:E150" si="38">B131*C131</f>
        <v>2100</v>
      </c>
      <c r="F131" s="290">
        <v>3</v>
      </c>
      <c r="G131" s="291">
        <f t="shared" ref="G131:G150" si="39">B131*F131</f>
        <v>2100</v>
      </c>
      <c r="H131" s="290"/>
      <c r="I131" s="291">
        <f t="shared" ref="I131:I150" si="40">B131*H131</f>
        <v>0</v>
      </c>
      <c r="J131" s="290"/>
      <c r="K131" s="291">
        <f t="shared" ref="K131:K150" si="41">B131*J131</f>
        <v>0</v>
      </c>
      <c r="L131" s="290"/>
      <c r="M131" s="291">
        <f t="shared" ref="M131:M150" si="42">B131*L131</f>
        <v>0</v>
      </c>
    </row>
    <row r="132" spans="1:13" ht="15.75">
      <c r="A132" s="290" t="s">
        <v>625</v>
      </c>
      <c r="B132" s="291">
        <v>35</v>
      </c>
      <c r="C132" s="290">
        <v>5</v>
      </c>
      <c r="D132" s="290" t="s">
        <v>378</v>
      </c>
      <c r="E132" s="291">
        <f t="shared" si="38"/>
        <v>175</v>
      </c>
      <c r="F132" s="290">
        <v>3</v>
      </c>
      <c r="G132" s="291">
        <f t="shared" si="39"/>
        <v>105</v>
      </c>
      <c r="H132" s="290"/>
      <c r="I132" s="291">
        <f t="shared" si="40"/>
        <v>0</v>
      </c>
      <c r="J132" s="290">
        <v>2</v>
      </c>
      <c r="K132" s="291">
        <f t="shared" si="41"/>
        <v>70</v>
      </c>
      <c r="L132" s="290"/>
      <c r="M132" s="291">
        <f t="shared" si="42"/>
        <v>0</v>
      </c>
    </row>
    <row r="133" spans="1:13" ht="15.75">
      <c r="A133" s="290" t="s">
        <v>503</v>
      </c>
      <c r="B133" s="291">
        <v>19</v>
      </c>
      <c r="C133" s="290">
        <v>26</v>
      </c>
      <c r="D133" s="290" t="s">
        <v>378</v>
      </c>
      <c r="E133" s="291">
        <f t="shared" si="38"/>
        <v>494</v>
      </c>
      <c r="F133" s="290">
        <v>10</v>
      </c>
      <c r="G133" s="291">
        <f t="shared" si="39"/>
        <v>190</v>
      </c>
      <c r="H133" s="290">
        <v>10</v>
      </c>
      <c r="I133" s="291">
        <f t="shared" si="40"/>
        <v>190</v>
      </c>
      <c r="J133" s="290">
        <v>6</v>
      </c>
      <c r="K133" s="291">
        <f t="shared" si="41"/>
        <v>114</v>
      </c>
      <c r="L133" s="290"/>
      <c r="M133" s="291">
        <f t="shared" si="42"/>
        <v>0</v>
      </c>
    </row>
    <row r="134" spans="1:13" ht="15.75">
      <c r="A134" s="290" t="s">
        <v>591</v>
      </c>
      <c r="B134" s="291">
        <v>100</v>
      </c>
      <c r="C134" s="290">
        <v>10</v>
      </c>
      <c r="D134" s="290" t="s">
        <v>378</v>
      </c>
      <c r="E134" s="291">
        <f t="shared" si="38"/>
        <v>1000</v>
      </c>
      <c r="F134" s="290">
        <v>10</v>
      </c>
      <c r="G134" s="291">
        <f t="shared" si="39"/>
        <v>1000</v>
      </c>
      <c r="H134" s="290"/>
      <c r="I134" s="291">
        <f t="shared" si="40"/>
        <v>0</v>
      </c>
      <c r="J134" s="290"/>
      <c r="K134" s="291">
        <f t="shared" si="41"/>
        <v>0</v>
      </c>
      <c r="L134" s="290"/>
      <c r="M134" s="291">
        <f t="shared" si="42"/>
        <v>0</v>
      </c>
    </row>
    <row r="135" spans="1:13" ht="15.75">
      <c r="A135" s="290" t="s">
        <v>504</v>
      </c>
      <c r="B135" s="291">
        <v>296</v>
      </c>
      <c r="C135" s="290">
        <v>5</v>
      </c>
      <c r="D135" s="290" t="s">
        <v>500</v>
      </c>
      <c r="E135" s="291">
        <f t="shared" si="38"/>
        <v>1480</v>
      </c>
      <c r="F135" s="290">
        <v>5</v>
      </c>
      <c r="G135" s="291">
        <f t="shared" si="39"/>
        <v>1480</v>
      </c>
      <c r="H135" s="290"/>
      <c r="I135" s="291">
        <f t="shared" si="40"/>
        <v>0</v>
      </c>
      <c r="J135" s="290"/>
      <c r="K135" s="291">
        <f t="shared" si="41"/>
        <v>0</v>
      </c>
      <c r="L135" s="290"/>
      <c r="M135" s="291">
        <f t="shared" si="42"/>
        <v>0</v>
      </c>
    </row>
    <row r="136" spans="1:13" ht="15.75">
      <c r="A136" s="290" t="s">
        <v>593</v>
      </c>
      <c r="B136" s="291">
        <v>200</v>
      </c>
      <c r="C136" s="290">
        <v>2</v>
      </c>
      <c r="D136" s="290" t="s">
        <v>378</v>
      </c>
      <c r="E136" s="291">
        <f t="shared" si="38"/>
        <v>400</v>
      </c>
      <c r="F136" s="290">
        <v>2</v>
      </c>
      <c r="G136" s="291">
        <f t="shared" si="39"/>
        <v>400</v>
      </c>
      <c r="H136" s="290"/>
      <c r="I136" s="291">
        <f t="shared" si="40"/>
        <v>0</v>
      </c>
      <c r="J136" s="290"/>
      <c r="K136" s="291">
        <f t="shared" si="41"/>
        <v>0</v>
      </c>
      <c r="L136" s="290"/>
      <c r="M136" s="291">
        <f t="shared" si="42"/>
        <v>0</v>
      </c>
    </row>
    <row r="137" spans="1:13" ht="15.75">
      <c r="A137" s="290" t="s">
        <v>594</v>
      </c>
      <c r="B137" s="291">
        <v>300</v>
      </c>
      <c r="C137" s="290">
        <v>3</v>
      </c>
      <c r="D137" s="290" t="s">
        <v>378</v>
      </c>
      <c r="E137" s="291">
        <f t="shared" si="38"/>
        <v>900</v>
      </c>
      <c r="F137" s="290">
        <v>3</v>
      </c>
      <c r="G137" s="291">
        <f t="shared" si="39"/>
        <v>900</v>
      </c>
      <c r="H137" s="290"/>
      <c r="I137" s="291">
        <f t="shared" si="40"/>
        <v>0</v>
      </c>
      <c r="J137" s="290"/>
      <c r="K137" s="291">
        <f t="shared" si="41"/>
        <v>0</v>
      </c>
      <c r="L137" s="290"/>
      <c r="M137" s="291">
        <f t="shared" si="42"/>
        <v>0</v>
      </c>
    </row>
    <row r="138" spans="1:13" ht="15.75">
      <c r="A138" s="290" t="s">
        <v>626</v>
      </c>
      <c r="B138" s="291">
        <v>50</v>
      </c>
      <c r="C138" s="290">
        <v>2</v>
      </c>
      <c r="D138" s="290" t="s">
        <v>378</v>
      </c>
      <c r="E138" s="291">
        <f t="shared" si="38"/>
        <v>100</v>
      </c>
      <c r="F138" s="290">
        <v>2</v>
      </c>
      <c r="G138" s="291">
        <f t="shared" si="39"/>
        <v>100</v>
      </c>
      <c r="H138" s="290"/>
      <c r="I138" s="291">
        <f t="shared" si="40"/>
        <v>0</v>
      </c>
      <c r="J138" s="290"/>
      <c r="K138" s="291">
        <f t="shared" si="41"/>
        <v>0</v>
      </c>
      <c r="L138" s="290"/>
      <c r="M138" s="291">
        <f t="shared" si="42"/>
        <v>0</v>
      </c>
    </row>
    <row r="139" spans="1:13" ht="15.75">
      <c r="A139" s="290" t="s">
        <v>596</v>
      </c>
      <c r="B139" s="291">
        <v>30</v>
      </c>
      <c r="C139" s="290">
        <v>4</v>
      </c>
      <c r="D139" s="290" t="s">
        <v>378</v>
      </c>
      <c r="E139" s="291">
        <f t="shared" si="38"/>
        <v>120</v>
      </c>
      <c r="F139" s="290">
        <v>1</v>
      </c>
      <c r="G139" s="291">
        <f t="shared" si="39"/>
        <v>30</v>
      </c>
      <c r="H139" s="290">
        <v>1</v>
      </c>
      <c r="I139" s="291">
        <f t="shared" si="40"/>
        <v>30</v>
      </c>
      <c r="J139" s="290">
        <v>1</v>
      </c>
      <c r="K139" s="291">
        <f t="shared" si="41"/>
        <v>30</v>
      </c>
      <c r="L139" s="290">
        <v>1</v>
      </c>
      <c r="M139" s="291">
        <f t="shared" si="42"/>
        <v>30</v>
      </c>
    </row>
    <row r="140" spans="1:13" ht="15.75">
      <c r="A140" s="290" t="s">
        <v>597</v>
      </c>
      <c r="B140" s="291">
        <v>1200</v>
      </c>
      <c r="C140" s="290">
        <v>4</v>
      </c>
      <c r="D140" s="290" t="s">
        <v>385</v>
      </c>
      <c r="E140" s="291">
        <f t="shared" si="38"/>
        <v>4800</v>
      </c>
      <c r="F140" s="290">
        <v>1</v>
      </c>
      <c r="G140" s="291">
        <f t="shared" si="39"/>
        <v>1200</v>
      </c>
      <c r="H140" s="290">
        <v>1</v>
      </c>
      <c r="I140" s="291">
        <f t="shared" si="40"/>
        <v>1200</v>
      </c>
      <c r="J140" s="290">
        <v>1</v>
      </c>
      <c r="K140" s="291">
        <f t="shared" si="41"/>
        <v>1200</v>
      </c>
      <c r="L140" s="290">
        <v>1</v>
      </c>
      <c r="M140" s="291">
        <f t="shared" si="42"/>
        <v>1200</v>
      </c>
    </row>
    <row r="141" spans="1:13" ht="15.75">
      <c r="A141" s="290" t="s">
        <v>506</v>
      </c>
      <c r="B141" s="291">
        <v>46</v>
      </c>
      <c r="C141" s="290">
        <v>6</v>
      </c>
      <c r="D141" s="290" t="s">
        <v>378</v>
      </c>
      <c r="E141" s="291">
        <f t="shared" si="38"/>
        <v>276</v>
      </c>
      <c r="F141" s="290"/>
      <c r="G141" s="291">
        <f t="shared" si="39"/>
        <v>0</v>
      </c>
      <c r="H141" s="290">
        <v>3</v>
      </c>
      <c r="I141" s="291">
        <f t="shared" si="40"/>
        <v>138</v>
      </c>
      <c r="J141" s="290"/>
      <c r="K141" s="291">
        <f t="shared" si="41"/>
        <v>0</v>
      </c>
      <c r="L141" s="290">
        <v>3</v>
      </c>
      <c r="M141" s="291">
        <f t="shared" si="42"/>
        <v>138</v>
      </c>
    </row>
    <row r="142" spans="1:13" ht="15.75">
      <c r="A142" s="290" t="s">
        <v>627</v>
      </c>
      <c r="B142" s="291">
        <v>15</v>
      </c>
      <c r="C142" s="290">
        <v>2</v>
      </c>
      <c r="D142" s="290" t="s">
        <v>385</v>
      </c>
      <c r="E142" s="291">
        <f t="shared" si="38"/>
        <v>30</v>
      </c>
      <c r="F142" s="290">
        <v>1</v>
      </c>
      <c r="G142" s="291">
        <f t="shared" si="39"/>
        <v>15</v>
      </c>
      <c r="H142" s="290"/>
      <c r="I142" s="291">
        <f t="shared" si="40"/>
        <v>0</v>
      </c>
      <c r="J142" s="290">
        <v>1</v>
      </c>
      <c r="K142" s="291">
        <f t="shared" si="41"/>
        <v>15</v>
      </c>
      <c r="L142" s="290"/>
      <c r="M142" s="291">
        <f t="shared" si="42"/>
        <v>0</v>
      </c>
    </row>
    <row r="143" spans="1:13" ht="15.75">
      <c r="A143" s="290" t="s">
        <v>508</v>
      </c>
      <c r="B143" s="291">
        <v>24</v>
      </c>
      <c r="C143" s="290">
        <v>2</v>
      </c>
      <c r="D143" s="290" t="s">
        <v>385</v>
      </c>
      <c r="E143" s="291">
        <f t="shared" si="38"/>
        <v>48</v>
      </c>
      <c r="F143" s="290">
        <v>1</v>
      </c>
      <c r="G143" s="291">
        <f t="shared" si="39"/>
        <v>24</v>
      </c>
      <c r="H143" s="290"/>
      <c r="I143" s="291">
        <f t="shared" si="40"/>
        <v>0</v>
      </c>
      <c r="J143" s="290">
        <v>1</v>
      </c>
      <c r="K143" s="291">
        <f t="shared" si="41"/>
        <v>24</v>
      </c>
      <c r="L143" s="290"/>
      <c r="M143" s="291">
        <f t="shared" si="42"/>
        <v>0</v>
      </c>
    </row>
    <row r="144" spans="1:13" ht="15.75">
      <c r="A144" s="290" t="s">
        <v>600</v>
      </c>
      <c r="B144" s="291">
        <v>5</v>
      </c>
      <c r="C144" s="290">
        <v>4</v>
      </c>
      <c r="D144" s="290" t="s">
        <v>378</v>
      </c>
      <c r="E144" s="291">
        <f t="shared" si="38"/>
        <v>20</v>
      </c>
      <c r="F144" s="290">
        <v>1</v>
      </c>
      <c r="G144" s="291">
        <f t="shared" si="39"/>
        <v>5</v>
      </c>
      <c r="H144" s="290">
        <v>1</v>
      </c>
      <c r="I144" s="291">
        <f t="shared" si="40"/>
        <v>5</v>
      </c>
      <c r="J144" s="290">
        <v>1</v>
      </c>
      <c r="K144" s="291">
        <f t="shared" si="41"/>
        <v>5</v>
      </c>
      <c r="L144" s="290">
        <v>1</v>
      </c>
      <c r="M144" s="291">
        <f t="shared" si="42"/>
        <v>5</v>
      </c>
    </row>
    <row r="145" spans="1:13" ht="15.75">
      <c r="A145" s="290" t="s">
        <v>601</v>
      </c>
      <c r="B145" s="291">
        <v>24</v>
      </c>
      <c r="C145" s="290">
        <v>4</v>
      </c>
      <c r="D145" s="290" t="s">
        <v>378</v>
      </c>
      <c r="E145" s="291">
        <f t="shared" si="38"/>
        <v>96</v>
      </c>
      <c r="F145" s="290">
        <v>1</v>
      </c>
      <c r="G145" s="291">
        <f t="shared" si="39"/>
        <v>24</v>
      </c>
      <c r="H145" s="290">
        <v>1</v>
      </c>
      <c r="I145" s="291">
        <f t="shared" si="40"/>
        <v>24</v>
      </c>
      <c r="J145" s="290">
        <v>1</v>
      </c>
      <c r="K145" s="291">
        <f t="shared" si="41"/>
        <v>24</v>
      </c>
      <c r="L145" s="290">
        <v>1</v>
      </c>
      <c r="M145" s="291">
        <f t="shared" si="42"/>
        <v>24</v>
      </c>
    </row>
    <row r="146" spans="1:13" ht="15.75">
      <c r="A146" s="299" t="s">
        <v>602</v>
      </c>
      <c r="B146" s="300">
        <v>550</v>
      </c>
      <c r="C146" s="299">
        <v>1</v>
      </c>
      <c r="D146" s="299" t="s">
        <v>378</v>
      </c>
      <c r="E146" s="291">
        <f t="shared" si="38"/>
        <v>550</v>
      </c>
      <c r="F146" s="290">
        <v>1</v>
      </c>
      <c r="G146" s="291">
        <f t="shared" si="39"/>
        <v>550</v>
      </c>
      <c r="H146" s="290"/>
      <c r="I146" s="291">
        <f t="shared" si="40"/>
        <v>0</v>
      </c>
      <c r="J146" s="290"/>
      <c r="K146" s="291">
        <f t="shared" si="41"/>
        <v>0</v>
      </c>
      <c r="L146" s="290"/>
      <c r="M146" s="291">
        <f t="shared" si="42"/>
        <v>0</v>
      </c>
    </row>
    <row r="147" spans="1:13" ht="15.75">
      <c r="A147" s="290" t="s">
        <v>606</v>
      </c>
      <c r="B147" s="291">
        <v>35</v>
      </c>
      <c r="C147" s="290">
        <v>1</v>
      </c>
      <c r="D147" s="290" t="s">
        <v>378</v>
      </c>
      <c r="E147" s="291">
        <f t="shared" si="38"/>
        <v>35</v>
      </c>
      <c r="F147" s="290">
        <v>1</v>
      </c>
      <c r="G147" s="291">
        <f t="shared" si="39"/>
        <v>35</v>
      </c>
      <c r="H147" s="290"/>
      <c r="I147" s="291">
        <f t="shared" si="40"/>
        <v>0</v>
      </c>
      <c r="J147" s="290"/>
      <c r="K147" s="291">
        <f t="shared" si="41"/>
        <v>0</v>
      </c>
      <c r="L147" s="290"/>
      <c r="M147" s="291">
        <f t="shared" si="42"/>
        <v>0</v>
      </c>
    </row>
    <row r="148" spans="1:13" ht="15.75">
      <c r="A148" s="290" t="s">
        <v>513</v>
      </c>
      <c r="B148" s="291">
        <v>17</v>
      </c>
      <c r="C148" s="290">
        <v>48</v>
      </c>
      <c r="D148" s="290" t="s">
        <v>378</v>
      </c>
      <c r="E148" s="291">
        <f t="shared" si="38"/>
        <v>816</v>
      </c>
      <c r="F148" s="290">
        <v>12</v>
      </c>
      <c r="G148" s="291">
        <f t="shared" si="39"/>
        <v>204</v>
      </c>
      <c r="H148" s="290">
        <v>12</v>
      </c>
      <c r="I148" s="291">
        <f t="shared" si="40"/>
        <v>204</v>
      </c>
      <c r="J148" s="290">
        <v>12</v>
      </c>
      <c r="K148" s="291">
        <f t="shared" si="41"/>
        <v>204</v>
      </c>
      <c r="L148" s="290">
        <v>12</v>
      </c>
      <c r="M148" s="291">
        <f t="shared" si="42"/>
        <v>204</v>
      </c>
    </row>
    <row r="149" spans="1:13" ht="15.75">
      <c r="A149" s="290" t="s">
        <v>514</v>
      </c>
      <c r="B149" s="291">
        <v>35</v>
      </c>
      <c r="C149" s="290">
        <v>10</v>
      </c>
      <c r="D149" s="290" t="s">
        <v>385</v>
      </c>
      <c r="E149" s="291">
        <f t="shared" si="38"/>
        <v>350</v>
      </c>
      <c r="F149" s="290">
        <v>5</v>
      </c>
      <c r="G149" s="291">
        <f t="shared" si="39"/>
        <v>175</v>
      </c>
      <c r="H149" s="290"/>
      <c r="I149" s="291">
        <f t="shared" si="40"/>
        <v>0</v>
      </c>
      <c r="J149" s="290">
        <v>5</v>
      </c>
      <c r="K149" s="291">
        <f t="shared" si="41"/>
        <v>175</v>
      </c>
      <c r="L149" s="290"/>
      <c r="M149" s="291">
        <f t="shared" si="42"/>
        <v>0</v>
      </c>
    </row>
    <row r="150" spans="1:13" ht="15.75">
      <c r="A150" s="290" t="s">
        <v>609</v>
      </c>
      <c r="B150" s="291">
        <v>200</v>
      </c>
      <c r="C150" s="290">
        <v>2</v>
      </c>
      <c r="D150" s="290" t="s">
        <v>378</v>
      </c>
      <c r="E150" s="291">
        <f t="shared" si="38"/>
        <v>400</v>
      </c>
      <c r="F150" s="290">
        <v>2</v>
      </c>
      <c r="G150" s="291">
        <f t="shared" si="39"/>
        <v>400</v>
      </c>
      <c r="H150" s="290"/>
      <c r="I150" s="291">
        <f t="shared" si="40"/>
        <v>0</v>
      </c>
      <c r="J150" s="290"/>
      <c r="K150" s="291">
        <f t="shared" si="41"/>
        <v>0</v>
      </c>
      <c r="L150" s="290"/>
      <c r="M150" s="291">
        <f t="shared" si="42"/>
        <v>0</v>
      </c>
    </row>
    <row r="151" spans="1:13" ht="15.75">
      <c r="A151" s="303"/>
      <c r="B151" s="303"/>
      <c r="C151" s="366" t="s">
        <v>377</v>
      </c>
      <c r="D151" s="366"/>
      <c r="E151" s="292">
        <f>SUM(E128:E150)</f>
        <v>15212</v>
      </c>
      <c r="F151" s="303"/>
      <c r="G151" s="292">
        <f>SUM(G128:G150)</f>
        <v>9815</v>
      </c>
      <c r="H151" s="287"/>
      <c r="I151" s="292">
        <f>SUM(I128:I150)</f>
        <v>1839</v>
      </c>
      <c r="J151" s="287"/>
      <c r="K151" s="292">
        <f>SUM(K128:K150)</f>
        <v>1909</v>
      </c>
      <c r="L151" s="287"/>
      <c r="M151" s="292">
        <f>SUM(M128:M150)</f>
        <v>1649</v>
      </c>
    </row>
    <row r="152" spans="1:13" ht="15.75">
      <c r="A152" s="287" t="s">
        <v>689</v>
      </c>
      <c r="B152" s="288"/>
      <c r="C152" s="304"/>
      <c r="D152" s="304"/>
      <c r="E152" s="293"/>
      <c r="F152" s="288"/>
      <c r="G152" s="292"/>
      <c r="H152" s="287"/>
      <c r="I152" s="292"/>
      <c r="J152" s="287"/>
      <c r="K152" s="292"/>
      <c r="L152" s="287"/>
      <c r="M152" s="292"/>
    </row>
    <row r="153" spans="1:13" ht="15.75">
      <c r="A153" s="369" t="s">
        <v>360</v>
      </c>
      <c r="B153" s="369" t="s">
        <v>361</v>
      </c>
      <c r="C153" s="369" t="s">
        <v>362</v>
      </c>
      <c r="D153" s="369" t="s">
        <v>363</v>
      </c>
      <c r="E153" s="369" t="s">
        <v>364</v>
      </c>
      <c r="F153" s="365" t="s">
        <v>365</v>
      </c>
      <c r="G153" s="365"/>
      <c r="H153" s="365" t="s">
        <v>366</v>
      </c>
      <c r="I153" s="365"/>
      <c r="J153" s="365" t="s">
        <v>367</v>
      </c>
      <c r="K153" s="365"/>
      <c r="L153" s="365" t="s">
        <v>368</v>
      </c>
      <c r="M153" s="365"/>
    </row>
    <row r="154" spans="1:13" ht="15.75">
      <c r="A154" s="370"/>
      <c r="B154" s="370"/>
      <c r="C154" s="370"/>
      <c r="D154" s="370"/>
      <c r="E154" s="370"/>
      <c r="F154" s="289" t="s">
        <v>369</v>
      </c>
      <c r="G154" s="289" t="s">
        <v>370</v>
      </c>
      <c r="H154" s="289" t="s">
        <v>369</v>
      </c>
      <c r="I154" s="289" t="s">
        <v>370</v>
      </c>
      <c r="J154" s="289" t="s">
        <v>369</v>
      </c>
      <c r="K154" s="289" t="s">
        <v>370</v>
      </c>
      <c r="L154" s="289" t="s">
        <v>369</v>
      </c>
      <c r="M154" s="289" t="s">
        <v>370</v>
      </c>
    </row>
    <row r="155" spans="1:13" ht="15.75">
      <c r="A155" s="290" t="s">
        <v>628</v>
      </c>
      <c r="B155" s="305">
        <v>70000</v>
      </c>
      <c r="C155" s="297">
        <v>1</v>
      </c>
      <c r="D155" s="306" t="s">
        <v>376</v>
      </c>
      <c r="E155" s="307">
        <f t="shared" ref="E155" si="43">B155*C155</f>
        <v>70000</v>
      </c>
      <c r="F155" s="306"/>
      <c r="G155" s="308">
        <f t="shared" ref="G155" si="44">B155*F155</f>
        <v>0</v>
      </c>
      <c r="H155" s="306">
        <v>1</v>
      </c>
      <c r="I155" s="308">
        <f t="shared" ref="I155" si="45">B155*H155</f>
        <v>70000</v>
      </c>
      <c r="J155" s="306"/>
      <c r="K155" s="308">
        <f t="shared" ref="K155" si="46">B155*J155</f>
        <v>0</v>
      </c>
      <c r="L155" s="306"/>
      <c r="M155" s="308">
        <f t="shared" ref="M155" si="47">B155*L155</f>
        <v>0</v>
      </c>
    </row>
    <row r="156" spans="1:13" ht="15.75">
      <c r="A156" s="288"/>
      <c r="B156" s="288"/>
      <c r="C156" s="368" t="s">
        <v>377</v>
      </c>
      <c r="D156" s="368"/>
      <c r="E156" s="292">
        <f>SUM(E155:E155)</f>
        <v>70000</v>
      </c>
      <c r="F156" s="288"/>
      <c r="G156" s="292">
        <f>SUM(G155:G155)</f>
        <v>0</v>
      </c>
      <c r="H156" s="287"/>
      <c r="I156" s="292">
        <f>SUM(I155:I155)</f>
        <v>70000</v>
      </c>
      <c r="J156" s="287"/>
      <c r="K156" s="292">
        <f>SUM(K155:K155)</f>
        <v>0</v>
      </c>
      <c r="L156" s="287"/>
      <c r="M156" s="292">
        <f>SUM(M155:M155)</f>
        <v>0</v>
      </c>
    </row>
    <row r="157" spans="1:13" ht="15.75">
      <c r="A157" s="287" t="s">
        <v>629</v>
      </c>
      <c r="B157" s="288"/>
      <c r="C157" s="304"/>
      <c r="D157" s="304"/>
      <c r="E157" s="293"/>
      <c r="F157" s="288"/>
      <c r="G157" s="292"/>
      <c r="H157" s="287"/>
      <c r="I157" s="292"/>
      <c r="J157" s="287"/>
      <c r="K157" s="292"/>
      <c r="L157" s="287"/>
      <c r="M157" s="292"/>
    </row>
    <row r="158" spans="1:13" ht="15.75">
      <c r="A158" s="369" t="s">
        <v>360</v>
      </c>
      <c r="B158" s="369" t="s">
        <v>361</v>
      </c>
      <c r="C158" s="369" t="s">
        <v>362</v>
      </c>
      <c r="D158" s="369" t="s">
        <v>363</v>
      </c>
      <c r="E158" s="369" t="s">
        <v>364</v>
      </c>
      <c r="F158" s="365" t="s">
        <v>365</v>
      </c>
      <c r="G158" s="365"/>
      <c r="H158" s="365" t="s">
        <v>366</v>
      </c>
      <c r="I158" s="365"/>
      <c r="J158" s="365" t="s">
        <v>367</v>
      </c>
      <c r="K158" s="365"/>
      <c r="L158" s="365" t="s">
        <v>368</v>
      </c>
      <c r="M158" s="365"/>
    </row>
    <row r="159" spans="1:13" ht="15.75">
      <c r="A159" s="370"/>
      <c r="B159" s="370"/>
      <c r="C159" s="370"/>
      <c r="D159" s="370"/>
      <c r="E159" s="370"/>
      <c r="F159" s="289" t="s">
        <v>369</v>
      </c>
      <c r="G159" s="289" t="s">
        <v>370</v>
      </c>
      <c r="H159" s="289" t="s">
        <v>369</v>
      </c>
      <c r="I159" s="289" t="s">
        <v>370</v>
      </c>
      <c r="J159" s="289" t="s">
        <v>369</v>
      </c>
      <c r="K159" s="289" t="s">
        <v>370</v>
      </c>
      <c r="L159" s="289" t="s">
        <v>369</v>
      </c>
      <c r="M159" s="289" t="s">
        <v>370</v>
      </c>
    </row>
    <row r="160" spans="1:13" ht="15.75">
      <c r="A160" s="290" t="s">
        <v>630</v>
      </c>
      <c r="B160" s="305">
        <v>300</v>
      </c>
      <c r="C160" s="297">
        <v>7</v>
      </c>
      <c r="D160" s="297" t="s">
        <v>378</v>
      </c>
      <c r="E160" s="291">
        <f t="shared" ref="E160:E166" si="48">B160*C160</f>
        <v>2100</v>
      </c>
      <c r="F160" s="290">
        <v>7</v>
      </c>
      <c r="G160" s="291">
        <f t="shared" ref="G160:G166" si="49">B160*F160</f>
        <v>2100</v>
      </c>
      <c r="H160" s="290"/>
      <c r="I160" s="291">
        <f t="shared" ref="I160:I166" si="50">B160*H160</f>
        <v>0</v>
      </c>
      <c r="J160" s="290"/>
      <c r="K160" s="291">
        <f t="shared" ref="K160:K166" si="51">B160*J160</f>
        <v>0</v>
      </c>
      <c r="L160" s="290"/>
      <c r="M160" s="291">
        <f t="shared" ref="M160:M166" si="52">B160*L160</f>
        <v>0</v>
      </c>
    </row>
    <row r="161" spans="1:13" ht="15.75">
      <c r="A161" s="290" t="s">
        <v>631</v>
      </c>
      <c r="B161" s="305">
        <v>100</v>
      </c>
      <c r="C161" s="297">
        <v>7</v>
      </c>
      <c r="D161" s="297" t="s">
        <v>378</v>
      </c>
      <c r="E161" s="291">
        <f t="shared" si="48"/>
        <v>700</v>
      </c>
      <c r="F161" s="290">
        <v>7</v>
      </c>
      <c r="G161" s="291">
        <f t="shared" si="49"/>
        <v>700</v>
      </c>
      <c r="H161" s="290"/>
      <c r="I161" s="291">
        <f t="shared" si="50"/>
        <v>0</v>
      </c>
      <c r="J161" s="290"/>
      <c r="K161" s="291">
        <f t="shared" si="51"/>
        <v>0</v>
      </c>
      <c r="L161" s="290"/>
      <c r="M161" s="291">
        <f t="shared" si="52"/>
        <v>0</v>
      </c>
    </row>
    <row r="162" spans="1:13" ht="15.75">
      <c r="A162" s="290" t="s">
        <v>632</v>
      </c>
      <c r="B162" s="305">
        <v>85</v>
      </c>
      <c r="C162" s="297">
        <v>7</v>
      </c>
      <c r="D162" s="297" t="s">
        <v>378</v>
      </c>
      <c r="E162" s="291">
        <f t="shared" si="48"/>
        <v>595</v>
      </c>
      <c r="F162" s="290">
        <v>7</v>
      </c>
      <c r="G162" s="291">
        <f t="shared" si="49"/>
        <v>595</v>
      </c>
      <c r="H162" s="290"/>
      <c r="I162" s="291">
        <f t="shared" si="50"/>
        <v>0</v>
      </c>
      <c r="J162" s="290"/>
      <c r="K162" s="291">
        <f t="shared" si="51"/>
        <v>0</v>
      </c>
      <c r="L162" s="290"/>
      <c r="M162" s="291">
        <f t="shared" si="52"/>
        <v>0</v>
      </c>
    </row>
    <row r="163" spans="1:13" ht="15.75">
      <c r="A163" s="290" t="s">
        <v>719</v>
      </c>
      <c r="B163" s="305">
        <v>500</v>
      </c>
      <c r="C163" s="297">
        <v>11</v>
      </c>
      <c r="D163" s="297" t="s">
        <v>378</v>
      </c>
      <c r="E163" s="291">
        <f t="shared" si="48"/>
        <v>5500</v>
      </c>
      <c r="F163" s="290">
        <v>11</v>
      </c>
      <c r="G163" s="291">
        <f t="shared" si="49"/>
        <v>5500</v>
      </c>
      <c r="H163" s="290"/>
      <c r="I163" s="291"/>
      <c r="J163" s="290"/>
      <c r="K163" s="291"/>
      <c r="L163" s="290"/>
      <c r="M163" s="291"/>
    </row>
    <row r="164" spans="1:13" ht="15.75">
      <c r="A164" s="290" t="s">
        <v>720</v>
      </c>
      <c r="B164" s="305">
        <v>600</v>
      </c>
      <c r="C164" s="297">
        <v>11</v>
      </c>
      <c r="D164" s="297" t="s">
        <v>378</v>
      </c>
      <c r="E164" s="291">
        <f t="shared" si="48"/>
        <v>6600</v>
      </c>
      <c r="F164" s="290">
        <v>11</v>
      </c>
      <c r="G164" s="291">
        <f t="shared" si="49"/>
        <v>6600</v>
      </c>
      <c r="H164" s="290"/>
      <c r="I164" s="291"/>
      <c r="J164" s="290"/>
      <c r="K164" s="291"/>
      <c r="L164" s="290"/>
      <c r="M164" s="291"/>
    </row>
    <row r="165" spans="1:13" ht="15.75">
      <c r="A165" s="290" t="s">
        <v>721</v>
      </c>
      <c r="B165" s="305">
        <v>500</v>
      </c>
      <c r="C165" s="297">
        <v>11</v>
      </c>
      <c r="D165" s="297" t="s">
        <v>378</v>
      </c>
      <c r="E165" s="291">
        <f t="shared" ref="E165" si="53">B165*C165</f>
        <v>5500</v>
      </c>
      <c r="F165" s="290">
        <v>11</v>
      </c>
      <c r="G165" s="291">
        <f t="shared" ref="G165" si="54">B165*F165</f>
        <v>5500</v>
      </c>
      <c r="H165" s="290"/>
      <c r="I165" s="291"/>
      <c r="J165" s="290"/>
      <c r="K165" s="291"/>
      <c r="L165" s="290"/>
      <c r="M165" s="291"/>
    </row>
    <row r="166" spans="1:13" ht="15.75">
      <c r="A166" s="290" t="s">
        <v>633</v>
      </c>
      <c r="B166" s="305">
        <v>100</v>
      </c>
      <c r="C166" s="297">
        <v>7</v>
      </c>
      <c r="D166" s="297" t="s">
        <v>634</v>
      </c>
      <c r="E166" s="291">
        <f t="shared" si="48"/>
        <v>700</v>
      </c>
      <c r="F166" s="290">
        <v>7</v>
      </c>
      <c r="G166" s="291">
        <f t="shared" si="49"/>
        <v>700</v>
      </c>
      <c r="H166" s="290"/>
      <c r="I166" s="291">
        <f t="shared" si="50"/>
        <v>0</v>
      </c>
      <c r="J166" s="290"/>
      <c r="K166" s="291">
        <f t="shared" si="51"/>
        <v>0</v>
      </c>
      <c r="L166" s="290"/>
      <c r="M166" s="291">
        <f t="shared" si="52"/>
        <v>0</v>
      </c>
    </row>
    <row r="167" spans="1:13" ht="15.75">
      <c r="A167" s="303"/>
      <c r="B167" s="303"/>
      <c r="C167" s="366" t="s">
        <v>377</v>
      </c>
      <c r="D167" s="366"/>
      <c r="E167" s="292">
        <f>SUM(E160:E166)</f>
        <v>21695</v>
      </c>
      <c r="F167" s="303"/>
      <c r="G167" s="292">
        <f>SUM(G160:G166)</f>
        <v>21695</v>
      </c>
      <c r="H167" s="287"/>
      <c r="I167" s="292">
        <f>SUM(I162:I166)</f>
        <v>0</v>
      </c>
      <c r="J167" s="287"/>
      <c r="K167" s="292">
        <f>SUM(K162:K166)</f>
        <v>0</v>
      </c>
      <c r="L167" s="287"/>
      <c r="M167" s="292">
        <f>SUM(M162:M166)</f>
        <v>0</v>
      </c>
    </row>
    <row r="168" spans="1:13" ht="15.75">
      <c r="A168" s="287" t="s">
        <v>267</v>
      </c>
      <c r="B168" s="288"/>
      <c r="C168" s="288"/>
      <c r="D168" s="288"/>
      <c r="E168" s="288"/>
      <c r="F168" s="288"/>
      <c r="G168" s="288"/>
      <c r="H168" s="288"/>
      <c r="I168" s="288"/>
      <c r="J168" s="288"/>
      <c r="K168" s="288"/>
      <c r="L168" s="288"/>
      <c r="M168" s="288"/>
    </row>
    <row r="169" spans="1:13" ht="15.75">
      <c r="A169" s="369" t="s">
        <v>360</v>
      </c>
      <c r="B169" s="369" t="s">
        <v>361</v>
      </c>
      <c r="C169" s="369" t="s">
        <v>362</v>
      </c>
      <c r="D169" s="369" t="s">
        <v>363</v>
      </c>
      <c r="E169" s="369" t="s">
        <v>364</v>
      </c>
      <c r="F169" s="365" t="s">
        <v>365</v>
      </c>
      <c r="G169" s="365"/>
      <c r="H169" s="365" t="s">
        <v>366</v>
      </c>
      <c r="I169" s="365"/>
      <c r="J169" s="365" t="s">
        <v>367</v>
      </c>
      <c r="K169" s="365"/>
      <c r="L169" s="365" t="s">
        <v>368</v>
      </c>
      <c r="M169" s="365"/>
    </row>
    <row r="170" spans="1:13" ht="15.75">
      <c r="A170" s="370"/>
      <c r="B170" s="370"/>
      <c r="C170" s="370"/>
      <c r="D170" s="370"/>
      <c r="E170" s="370"/>
      <c r="F170" s="289" t="s">
        <v>369</v>
      </c>
      <c r="G170" s="289" t="s">
        <v>370</v>
      </c>
      <c r="H170" s="289" t="s">
        <v>369</v>
      </c>
      <c r="I170" s="289" t="s">
        <v>370</v>
      </c>
      <c r="J170" s="289" t="s">
        <v>369</v>
      </c>
      <c r="K170" s="289" t="s">
        <v>370</v>
      </c>
      <c r="L170" s="289" t="s">
        <v>369</v>
      </c>
      <c r="M170" s="289" t="s">
        <v>370</v>
      </c>
    </row>
    <row r="171" spans="1:13" ht="15.75">
      <c r="A171" s="290" t="s">
        <v>635</v>
      </c>
      <c r="B171" s="291">
        <v>1300</v>
      </c>
      <c r="C171" s="290">
        <v>1</v>
      </c>
      <c r="D171" s="290" t="s">
        <v>378</v>
      </c>
      <c r="E171" s="291">
        <f t="shared" ref="E171:E185" si="55">B171*C171</f>
        <v>1300</v>
      </c>
      <c r="F171" s="290">
        <v>1</v>
      </c>
      <c r="G171" s="291">
        <f t="shared" ref="G171:G185" si="56">B171*F171</f>
        <v>1300</v>
      </c>
      <c r="H171" s="290"/>
      <c r="I171" s="291">
        <f t="shared" ref="I171:I185" si="57">B171*H171</f>
        <v>0</v>
      </c>
      <c r="J171" s="290"/>
      <c r="K171" s="291">
        <f t="shared" ref="K171:K185" si="58">B171*J171</f>
        <v>0</v>
      </c>
      <c r="L171" s="290"/>
      <c r="M171" s="291">
        <f t="shared" ref="M171:M185" si="59">B171*L171</f>
        <v>0</v>
      </c>
    </row>
    <row r="172" spans="1:13" ht="15.75">
      <c r="A172" s="290" t="s">
        <v>636</v>
      </c>
      <c r="B172" s="291">
        <v>1100</v>
      </c>
      <c r="C172" s="290">
        <v>1</v>
      </c>
      <c r="D172" s="290" t="s">
        <v>378</v>
      </c>
      <c r="E172" s="291">
        <f t="shared" si="55"/>
        <v>1100</v>
      </c>
      <c r="F172" s="290">
        <v>1</v>
      </c>
      <c r="G172" s="291">
        <f t="shared" si="56"/>
        <v>1100</v>
      </c>
      <c r="H172" s="290"/>
      <c r="I172" s="291">
        <f t="shared" si="57"/>
        <v>0</v>
      </c>
      <c r="J172" s="290"/>
      <c r="K172" s="291">
        <f t="shared" si="58"/>
        <v>0</v>
      </c>
      <c r="L172" s="290"/>
      <c r="M172" s="291">
        <f t="shared" si="59"/>
        <v>0</v>
      </c>
    </row>
    <row r="173" spans="1:13" ht="15.75">
      <c r="A173" s="290" t="s">
        <v>637</v>
      </c>
      <c r="B173" s="291">
        <v>15000</v>
      </c>
      <c r="C173" s="290">
        <v>1</v>
      </c>
      <c r="D173" s="290" t="s">
        <v>378</v>
      </c>
      <c r="E173" s="291">
        <f t="shared" si="55"/>
        <v>15000</v>
      </c>
      <c r="F173" s="290"/>
      <c r="G173" s="291">
        <f t="shared" si="56"/>
        <v>0</v>
      </c>
      <c r="H173" s="290">
        <v>1</v>
      </c>
      <c r="I173" s="291">
        <f t="shared" si="57"/>
        <v>15000</v>
      </c>
      <c r="J173" s="290"/>
      <c r="K173" s="291">
        <f t="shared" si="58"/>
        <v>0</v>
      </c>
      <c r="L173" s="290"/>
      <c r="M173" s="291">
        <f t="shared" si="59"/>
        <v>0</v>
      </c>
    </row>
    <row r="174" spans="1:13" ht="15.75">
      <c r="A174" s="290" t="s">
        <v>638</v>
      </c>
      <c r="B174" s="291">
        <v>20000</v>
      </c>
      <c r="C174" s="290">
        <v>1</v>
      </c>
      <c r="D174" s="290" t="s">
        <v>378</v>
      </c>
      <c r="E174" s="291">
        <f t="shared" si="55"/>
        <v>20000</v>
      </c>
      <c r="F174" s="290"/>
      <c r="G174" s="291">
        <f t="shared" si="56"/>
        <v>0</v>
      </c>
      <c r="H174" s="290">
        <v>1</v>
      </c>
      <c r="I174" s="291">
        <f t="shared" si="57"/>
        <v>20000</v>
      </c>
      <c r="J174" s="290"/>
      <c r="K174" s="291">
        <f t="shared" si="58"/>
        <v>0</v>
      </c>
      <c r="L174" s="290"/>
      <c r="M174" s="291">
        <f t="shared" si="59"/>
        <v>0</v>
      </c>
    </row>
    <row r="175" spans="1:13" ht="15.75">
      <c r="A175" s="290" t="s">
        <v>639</v>
      </c>
      <c r="B175" s="291">
        <v>600</v>
      </c>
      <c r="C175" s="290">
        <v>4</v>
      </c>
      <c r="D175" s="290" t="s">
        <v>378</v>
      </c>
      <c r="E175" s="291">
        <f t="shared" si="55"/>
        <v>2400</v>
      </c>
      <c r="F175" s="290">
        <v>2</v>
      </c>
      <c r="G175" s="291">
        <f t="shared" si="56"/>
        <v>1200</v>
      </c>
      <c r="H175" s="290"/>
      <c r="I175" s="291">
        <f t="shared" si="57"/>
        <v>0</v>
      </c>
      <c r="J175" s="290">
        <v>2</v>
      </c>
      <c r="K175" s="291">
        <f t="shared" si="58"/>
        <v>1200</v>
      </c>
      <c r="L175" s="290"/>
      <c r="M175" s="291">
        <f t="shared" si="59"/>
        <v>0</v>
      </c>
    </row>
    <row r="176" spans="1:13" ht="15.75">
      <c r="A176" s="290" t="s">
        <v>640</v>
      </c>
      <c r="B176" s="291">
        <v>600</v>
      </c>
      <c r="C176" s="290">
        <v>1</v>
      </c>
      <c r="D176" s="290" t="s">
        <v>372</v>
      </c>
      <c r="E176" s="291">
        <f t="shared" si="55"/>
        <v>600</v>
      </c>
      <c r="F176" s="290">
        <v>1</v>
      </c>
      <c r="G176" s="291">
        <f t="shared" si="56"/>
        <v>600</v>
      </c>
      <c r="H176" s="290"/>
      <c r="I176" s="291">
        <f t="shared" si="57"/>
        <v>0</v>
      </c>
      <c r="J176" s="290"/>
      <c r="K176" s="291">
        <f t="shared" si="58"/>
        <v>0</v>
      </c>
      <c r="L176" s="290"/>
      <c r="M176" s="291">
        <f t="shared" si="59"/>
        <v>0</v>
      </c>
    </row>
    <row r="177" spans="1:13" ht="15.75">
      <c r="A177" s="290" t="s">
        <v>641</v>
      </c>
      <c r="B177" s="309">
        <v>200000</v>
      </c>
      <c r="C177" s="290">
        <v>1</v>
      </c>
      <c r="D177" s="290" t="s">
        <v>376</v>
      </c>
      <c r="E177" s="291">
        <f t="shared" si="55"/>
        <v>200000</v>
      </c>
      <c r="F177" s="290">
        <v>1</v>
      </c>
      <c r="G177" s="291">
        <f>B177*F177</f>
        <v>200000</v>
      </c>
      <c r="H177" s="290"/>
      <c r="I177" s="291">
        <f>B177*H177</f>
        <v>0</v>
      </c>
      <c r="J177" s="290"/>
      <c r="K177" s="291">
        <f>B177*J177</f>
        <v>0</v>
      </c>
      <c r="L177" s="290"/>
      <c r="M177" s="291">
        <f>B177*L177</f>
        <v>0</v>
      </c>
    </row>
    <row r="178" spans="1:13" ht="15.75">
      <c r="A178" s="290" t="s">
        <v>379</v>
      </c>
      <c r="B178" s="291">
        <v>4000</v>
      </c>
      <c r="C178" s="290">
        <v>1</v>
      </c>
      <c r="D178" s="290" t="s">
        <v>374</v>
      </c>
      <c r="E178" s="291">
        <f t="shared" si="55"/>
        <v>4000</v>
      </c>
      <c r="F178" s="290">
        <v>1</v>
      </c>
      <c r="G178" s="291">
        <f t="shared" si="56"/>
        <v>4000</v>
      </c>
      <c r="H178" s="290"/>
      <c r="I178" s="291">
        <f t="shared" si="57"/>
        <v>0</v>
      </c>
      <c r="J178" s="290"/>
      <c r="K178" s="291">
        <f t="shared" si="58"/>
        <v>0</v>
      </c>
      <c r="L178" s="290"/>
      <c r="M178" s="291">
        <f t="shared" si="59"/>
        <v>0</v>
      </c>
    </row>
    <row r="179" spans="1:13" ht="15.75">
      <c r="A179" s="290" t="s">
        <v>642</v>
      </c>
      <c r="B179" s="291">
        <v>800</v>
      </c>
      <c r="C179" s="290">
        <v>2</v>
      </c>
      <c r="D179" s="290" t="s">
        <v>378</v>
      </c>
      <c r="E179" s="291">
        <f t="shared" si="55"/>
        <v>1600</v>
      </c>
      <c r="F179" s="290">
        <v>1</v>
      </c>
      <c r="G179" s="291">
        <f t="shared" si="56"/>
        <v>800</v>
      </c>
      <c r="H179" s="290"/>
      <c r="I179" s="291">
        <f t="shared" si="57"/>
        <v>0</v>
      </c>
      <c r="J179" s="290">
        <v>1</v>
      </c>
      <c r="K179" s="291">
        <f t="shared" si="58"/>
        <v>800</v>
      </c>
      <c r="L179" s="290"/>
      <c r="M179" s="291">
        <f t="shared" si="59"/>
        <v>0</v>
      </c>
    </row>
    <row r="180" spans="1:13" ht="15.75">
      <c r="A180" s="290" t="s">
        <v>643</v>
      </c>
      <c r="B180" s="291">
        <v>3500</v>
      </c>
      <c r="C180" s="290">
        <v>2</v>
      </c>
      <c r="D180" s="290" t="s">
        <v>378</v>
      </c>
      <c r="E180" s="291">
        <f t="shared" si="55"/>
        <v>7000</v>
      </c>
      <c r="F180" s="290">
        <v>1</v>
      </c>
      <c r="G180" s="291">
        <f t="shared" si="56"/>
        <v>3500</v>
      </c>
      <c r="H180" s="290"/>
      <c r="I180" s="291">
        <f t="shared" si="57"/>
        <v>0</v>
      </c>
      <c r="J180" s="290">
        <v>1</v>
      </c>
      <c r="K180" s="291">
        <f t="shared" si="58"/>
        <v>3500</v>
      </c>
      <c r="L180" s="290"/>
      <c r="M180" s="291">
        <f t="shared" si="59"/>
        <v>0</v>
      </c>
    </row>
    <row r="181" spans="1:13" ht="15.75">
      <c r="A181" s="290" t="s">
        <v>644</v>
      </c>
      <c r="B181" s="291">
        <v>1800</v>
      </c>
      <c r="C181" s="290">
        <v>1</v>
      </c>
      <c r="D181" s="290" t="s">
        <v>372</v>
      </c>
      <c r="E181" s="291">
        <f t="shared" si="55"/>
        <v>1800</v>
      </c>
      <c r="F181" s="290">
        <v>1</v>
      </c>
      <c r="G181" s="291">
        <f t="shared" si="56"/>
        <v>1800</v>
      </c>
      <c r="H181" s="290"/>
      <c r="I181" s="291">
        <f t="shared" si="57"/>
        <v>0</v>
      </c>
      <c r="J181" s="290"/>
      <c r="K181" s="291">
        <f t="shared" si="58"/>
        <v>0</v>
      </c>
      <c r="L181" s="290"/>
      <c r="M181" s="291">
        <f t="shared" si="59"/>
        <v>0</v>
      </c>
    </row>
    <row r="182" spans="1:13" ht="15.75">
      <c r="A182" s="290" t="s">
        <v>645</v>
      </c>
      <c r="B182" s="291">
        <v>536</v>
      </c>
      <c r="C182" s="290">
        <v>1</v>
      </c>
      <c r="D182" s="290" t="s">
        <v>372</v>
      </c>
      <c r="E182" s="291">
        <f t="shared" si="55"/>
        <v>536</v>
      </c>
      <c r="F182" s="290">
        <v>1</v>
      </c>
      <c r="G182" s="291">
        <f t="shared" si="56"/>
        <v>536</v>
      </c>
      <c r="H182" s="290"/>
      <c r="I182" s="291">
        <f t="shared" si="57"/>
        <v>0</v>
      </c>
      <c r="J182" s="290"/>
      <c r="K182" s="291">
        <f t="shared" si="58"/>
        <v>0</v>
      </c>
      <c r="L182" s="290"/>
      <c r="M182" s="291">
        <f t="shared" si="59"/>
        <v>0</v>
      </c>
    </row>
    <row r="183" spans="1:13" ht="15.75">
      <c r="A183" s="290" t="s">
        <v>646</v>
      </c>
      <c r="B183" s="291">
        <v>1200</v>
      </c>
      <c r="C183" s="290">
        <v>2</v>
      </c>
      <c r="D183" s="290" t="s">
        <v>378</v>
      </c>
      <c r="E183" s="291">
        <f t="shared" si="55"/>
        <v>2400</v>
      </c>
      <c r="F183" s="290">
        <v>2</v>
      </c>
      <c r="G183" s="291">
        <f t="shared" si="56"/>
        <v>2400</v>
      </c>
      <c r="H183" s="290"/>
      <c r="I183" s="291">
        <f t="shared" si="57"/>
        <v>0</v>
      </c>
      <c r="J183" s="290"/>
      <c r="K183" s="291">
        <f t="shared" si="58"/>
        <v>0</v>
      </c>
      <c r="L183" s="290"/>
      <c r="M183" s="291">
        <f t="shared" si="59"/>
        <v>0</v>
      </c>
    </row>
    <row r="184" spans="1:13" ht="15.75">
      <c r="A184" s="290" t="s">
        <v>647</v>
      </c>
      <c r="B184" s="291">
        <v>1400</v>
      </c>
      <c r="C184" s="290">
        <v>2</v>
      </c>
      <c r="D184" s="290" t="s">
        <v>378</v>
      </c>
      <c r="E184" s="291">
        <f t="shared" si="55"/>
        <v>2800</v>
      </c>
      <c r="F184" s="290">
        <v>2</v>
      </c>
      <c r="G184" s="291">
        <f t="shared" si="56"/>
        <v>2800</v>
      </c>
      <c r="H184" s="290"/>
      <c r="I184" s="291">
        <f t="shared" si="57"/>
        <v>0</v>
      </c>
      <c r="J184" s="290"/>
      <c r="K184" s="291">
        <f t="shared" si="58"/>
        <v>0</v>
      </c>
      <c r="L184" s="290"/>
      <c r="M184" s="291">
        <f t="shared" si="59"/>
        <v>0</v>
      </c>
    </row>
    <row r="185" spans="1:13" ht="15.75">
      <c r="A185" s="290" t="s">
        <v>380</v>
      </c>
      <c r="B185" s="291">
        <v>443</v>
      </c>
      <c r="C185" s="290">
        <v>6</v>
      </c>
      <c r="D185" s="290" t="s">
        <v>378</v>
      </c>
      <c r="E185" s="291">
        <f t="shared" si="55"/>
        <v>2658</v>
      </c>
      <c r="F185" s="290">
        <v>3</v>
      </c>
      <c r="G185" s="291">
        <f t="shared" si="56"/>
        <v>1329</v>
      </c>
      <c r="H185" s="290"/>
      <c r="I185" s="291">
        <f t="shared" si="57"/>
        <v>0</v>
      </c>
      <c r="J185" s="290">
        <v>3</v>
      </c>
      <c r="K185" s="291">
        <f t="shared" si="58"/>
        <v>1329</v>
      </c>
      <c r="L185" s="290"/>
      <c r="M185" s="291">
        <f t="shared" si="59"/>
        <v>0</v>
      </c>
    </row>
    <row r="186" spans="1:13" ht="15.75">
      <c r="A186" s="303"/>
      <c r="B186" s="303"/>
      <c r="C186" s="366" t="s">
        <v>377</v>
      </c>
      <c r="D186" s="366"/>
      <c r="E186" s="292">
        <f>SUM(E171:E185)</f>
        <v>263194</v>
      </c>
      <c r="F186" s="303"/>
      <c r="G186" s="292">
        <f>SUM(G171:G185)</f>
        <v>221365</v>
      </c>
      <c r="H186" s="287"/>
      <c r="I186" s="292">
        <f>SUM(I171:I185)</f>
        <v>35000</v>
      </c>
      <c r="J186" s="287"/>
      <c r="K186" s="292">
        <f>SUM(K171:K185)</f>
        <v>6829</v>
      </c>
      <c r="L186" s="287"/>
      <c r="M186" s="292">
        <f>SUM(M171:M185)</f>
        <v>0</v>
      </c>
    </row>
    <row r="187" spans="1:13" ht="15.75">
      <c r="A187" s="287" t="s">
        <v>648</v>
      </c>
      <c r="B187" s="288"/>
      <c r="C187" s="288"/>
      <c r="D187" s="288"/>
      <c r="E187" s="293"/>
      <c r="F187" s="288"/>
      <c r="G187" s="288"/>
      <c r="H187" s="288"/>
      <c r="I187" s="288"/>
      <c r="J187" s="288"/>
      <c r="K187" s="288"/>
      <c r="L187" s="288"/>
      <c r="M187" s="288"/>
    </row>
    <row r="188" spans="1:13" ht="15.75">
      <c r="A188" s="369" t="s">
        <v>360</v>
      </c>
      <c r="B188" s="369" t="s">
        <v>361</v>
      </c>
      <c r="C188" s="369" t="s">
        <v>362</v>
      </c>
      <c r="D188" s="369" t="s">
        <v>363</v>
      </c>
      <c r="E188" s="369" t="s">
        <v>364</v>
      </c>
      <c r="F188" s="365" t="s">
        <v>365</v>
      </c>
      <c r="G188" s="365"/>
      <c r="H188" s="365" t="s">
        <v>366</v>
      </c>
      <c r="I188" s="365"/>
      <c r="J188" s="365" t="s">
        <v>367</v>
      </c>
      <c r="K188" s="365"/>
      <c r="L188" s="365" t="s">
        <v>368</v>
      </c>
      <c r="M188" s="365"/>
    </row>
    <row r="189" spans="1:13" ht="15.75">
      <c r="A189" s="370"/>
      <c r="B189" s="370"/>
      <c r="C189" s="370"/>
      <c r="D189" s="370"/>
      <c r="E189" s="370"/>
      <c r="F189" s="289" t="s">
        <v>369</v>
      </c>
      <c r="G189" s="289" t="s">
        <v>370</v>
      </c>
      <c r="H189" s="289" t="s">
        <v>369</v>
      </c>
      <c r="I189" s="289" t="s">
        <v>370</v>
      </c>
      <c r="J189" s="289" t="s">
        <v>369</v>
      </c>
      <c r="K189" s="289" t="s">
        <v>370</v>
      </c>
      <c r="L189" s="289" t="s">
        <v>369</v>
      </c>
      <c r="M189" s="289" t="s">
        <v>370</v>
      </c>
    </row>
    <row r="190" spans="1:13" ht="15.75">
      <c r="A190" s="290" t="s">
        <v>649</v>
      </c>
      <c r="B190" s="291">
        <v>680</v>
      </c>
      <c r="C190" s="290">
        <v>200</v>
      </c>
      <c r="D190" s="290" t="s">
        <v>378</v>
      </c>
      <c r="E190" s="291">
        <f>B190*C190</f>
        <v>136000</v>
      </c>
      <c r="F190" s="290">
        <v>100</v>
      </c>
      <c r="G190" s="291">
        <f>B190*F190</f>
        <v>68000</v>
      </c>
      <c r="H190" s="290"/>
      <c r="I190" s="291">
        <f>B190*H190</f>
        <v>0</v>
      </c>
      <c r="J190" s="290">
        <v>100</v>
      </c>
      <c r="K190" s="291">
        <f>B190*J190</f>
        <v>68000</v>
      </c>
      <c r="L190" s="290"/>
      <c r="M190" s="291">
        <f>B190*L190</f>
        <v>0</v>
      </c>
    </row>
    <row r="191" spans="1:13" ht="15.75">
      <c r="A191" s="290" t="s">
        <v>650</v>
      </c>
      <c r="B191" s="291">
        <v>1201</v>
      </c>
      <c r="C191" s="290">
        <v>100</v>
      </c>
      <c r="D191" s="290" t="s">
        <v>378</v>
      </c>
      <c r="E191" s="291">
        <f t="shared" ref="E191:E195" si="60">B191*C191</f>
        <v>120100</v>
      </c>
      <c r="F191" s="290">
        <v>50</v>
      </c>
      <c r="G191" s="291">
        <f t="shared" ref="G191:G195" si="61">B191*F191</f>
        <v>60050</v>
      </c>
      <c r="H191" s="290"/>
      <c r="I191" s="291">
        <f t="shared" ref="I191:I195" si="62">B191*H191</f>
        <v>0</v>
      </c>
      <c r="J191" s="290">
        <v>50</v>
      </c>
      <c r="K191" s="291">
        <f t="shared" ref="K191:K195" si="63">B191*J191</f>
        <v>60050</v>
      </c>
      <c r="L191" s="290"/>
      <c r="M191" s="291">
        <f t="shared" ref="M191:M195" si="64">B191*L191</f>
        <v>0</v>
      </c>
    </row>
    <row r="192" spans="1:13" ht="15.75">
      <c r="A192" s="290" t="s">
        <v>651</v>
      </c>
      <c r="B192" s="291">
        <v>1963</v>
      </c>
      <c r="C192" s="290">
        <v>20</v>
      </c>
      <c r="D192" s="290" t="s">
        <v>378</v>
      </c>
      <c r="E192" s="291">
        <f t="shared" si="60"/>
        <v>39260</v>
      </c>
      <c r="F192" s="290">
        <v>20</v>
      </c>
      <c r="G192" s="291">
        <f t="shared" si="61"/>
        <v>39260</v>
      </c>
      <c r="H192" s="290"/>
      <c r="I192" s="291">
        <f t="shared" si="62"/>
        <v>0</v>
      </c>
      <c r="J192" s="290"/>
      <c r="K192" s="291">
        <f t="shared" si="63"/>
        <v>0</v>
      </c>
      <c r="L192" s="290"/>
      <c r="M192" s="291">
        <f t="shared" si="64"/>
        <v>0</v>
      </c>
    </row>
    <row r="193" spans="1:13" ht="15.75">
      <c r="A193" s="290" t="s">
        <v>652</v>
      </c>
      <c r="B193" s="291">
        <v>4168</v>
      </c>
      <c r="C193" s="290">
        <v>100</v>
      </c>
      <c r="D193" s="290" t="s">
        <v>378</v>
      </c>
      <c r="E193" s="291">
        <f t="shared" si="60"/>
        <v>416800</v>
      </c>
      <c r="F193" s="290">
        <v>100</v>
      </c>
      <c r="G193" s="291">
        <f t="shared" si="61"/>
        <v>416800</v>
      </c>
      <c r="H193" s="290"/>
      <c r="I193" s="291">
        <f t="shared" si="62"/>
        <v>0</v>
      </c>
      <c r="J193" s="290"/>
      <c r="K193" s="291">
        <f t="shared" si="63"/>
        <v>0</v>
      </c>
      <c r="L193" s="290"/>
      <c r="M193" s="291">
        <f t="shared" si="64"/>
        <v>0</v>
      </c>
    </row>
    <row r="194" spans="1:13" ht="15.75">
      <c r="A194" s="290" t="s">
        <v>381</v>
      </c>
      <c r="B194" s="291">
        <v>620</v>
      </c>
      <c r="C194" s="290">
        <v>150</v>
      </c>
      <c r="D194" s="290" t="s">
        <v>378</v>
      </c>
      <c r="E194" s="291">
        <f t="shared" ref="E194" si="65">B194*C194</f>
        <v>93000</v>
      </c>
      <c r="F194" s="290">
        <v>100</v>
      </c>
      <c r="G194" s="291">
        <f t="shared" ref="G194" si="66">B194*F194</f>
        <v>62000</v>
      </c>
      <c r="H194" s="290">
        <v>50</v>
      </c>
      <c r="I194" s="291">
        <f t="shared" ref="I194" si="67">B194*H194</f>
        <v>31000</v>
      </c>
      <c r="J194" s="290"/>
      <c r="K194" s="291">
        <f t="shared" ref="K194" si="68">B194*J194</f>
        <v>0</v>
      </c>
      <c r="L194" s="290"/>
      <c r="M194" s="291">
        <f t="shared" ref="M194" si="69">B194*L194</f>
        <v>0</v>
      </c>
    </row>
    <row r="195" spans="1:13" ht="15.75">
      <c r="A195" s="290" t="s">
        <v>764</v>
      </c>
      <c r="B195" s="291">
        <v>1300000</v>
      </c>
      <c r="C195" s="290">
        <v>1</v>
      </c>
      <c r="D195" s="290" t="s">
        <v>372</v>
      </c>
      <c r="E195" s="291">
        <f t="shared" si="60"/>
        <v>1300000</v>
      </c>
      <c r="F195" s="290"/>
      <c r="G195" s="291">
        <f t="shared" si="61"/>
        <v>0</v>
      </c>
      <c r="H195" s="290">
        <v>1</v>
      </c>
      <c r="I195" s="291">
        <f t="shared" si="62"/>
        <v>1300000</v>
      </c>
      <c r="J195" s="290"/>
      <c r="K195" s="291">
        <f t="shared" si="63"/>
        <v>0</v>
      </c>
      <c r="L195" s="290"/>
      <c r="M195" s="291">
        <f t="shared" si="64"/>
        <v>0</v>
      </c>
    </row>
    <row r="196" spans="1:13" ht="15.75">
      <c r="A196" s="303"/>
      <c r="B196" s="303"/>
      <c r="C196" s="366" t="s">
        <v>377</v>
      </c>
      <c r="D196" s="366"/>
      <c r="E196" s="292">
        <f>SUM(E190:E195)</f>
        <v>2105160</v>
      </c>
      <c r="F196" s="303"/>
      <c r="G196" s="292">
        <f>SUM(G190:G195)</f>
        <v>646110</v>
      </c>
      <c r="H196" s="287"/>
      <c r="I196" s="292">
        <f>SUM(I190:I195)</f>
        <v>1331000</v>
      </c>
      <c r="J196" s="287"/>
      <c r="K196" s="292">
        <f>SUM(K190:K195)</f>
        <v>128050</v>
      </c>
      <c r="L196" s="287"/>
      <c r="M196" s="292">
        <f>SUM(M190:M195)</f>
        <v>0</v>
      </c>
    </row>
    <row r="197" spans="1:13" ht="15.75">
      <c r="A197" s="303"/>
      <c r="B197" s="303"/>
      <c r="C197" s="304"/>
      <c r="D197" s="304"/>
      <c r="E197" s="292"/>
      <c r="F197" s="303"/>
      <c r="G197" s="292"/>
      <c r="H197" s="287"/>
      <c r="I197" s="292"/>
      <c r="J197" s="287"/>
      <c r="K197" s="292"/>
      <c r="L197" s="287"/>
      <c r="M197" s="292"/>
    </row>
    <row r="198" spans="1:13" ht="15.75">
      <c r="A198" s="287" t="s">
        <v>382</v>
      </c>
      <c r="B198" s="288"/>
      <c r="C198" s="288"/>
      <c r="D198" s="288"/>
      <c r="E198" s="293"/>
      <c r="F198" s="288"/>
      <c r="G198" s="288"/>
      <c r="H198" s="288"/>
      <c r="I198" s="288"/>
      <c r="J198" s="288"/>
      <c r="K198" s="288"/>
      <c r="L198" s="288"/>
      <c r="M198" s="288"/>
    </row>
    <row r="199" spans="1:13" ht="15.75">
      <c r="A199" s="369" t="s">
        <v>360</v>
      </c>
      <c r="B199" s="369" t="s">
        <v>361</v>
      </c>
      <c r="C199" s="369" t="s">
        <v>362</v>
      </c>
      <c r="D199" s="369" t="s">
        <v>363</v>
      </c>
      <c r="E199" s="369" t="s">
        <v>364</v>
      </c>
      <c r="F199" s="365" t="s">
        <v>365</v>
      </c>
      <c r="G199" s="365"/>
      <c r="H199" s="365" t="s">
        <v>366</v>
      </c>
      <c r="I199" s="365"/>
      <c r="J199" s="365" t="s">
        <v>367</v>
      </c>
      <c r="K199" s="365"/>
      <c r="L199" s="365" t="s">
        <v>368</v>
      </c>
      <c r="M199" s="365"/>
    </row>
    <row r="200" spans="1:13" ht="15.75">
      <c r="A200" s="370"/>
      <c r="B200" s="370"/>
      <c r="C200" s="370"/>
      <c r="D200" s="370"/>
      <c r="E200" s="370"/>
      <c r="F200" s="289" t="s">
        <v>369</v>
      </c>
      <c r="G200" s="289" t="s">
        <v>370</v>
      </c>
      <c r="H200" s="289" t="s">
        <v>369</v>
      </c>
      <c r="I200" s="289" t="s">
        <v>370</v>
      </c>
      <c r="J200" s="289" t="s">
        <v>369</v>
      </c>
      <c r="K200" s="289" t="s">
        <v>370</v>
      </c>
      <c r="L200" s="289" t="s">
        <v>369</v>
      </c>
      <c r="M200" s="289" t="s">
        <v>370</v>
      </c>
    </row>
    <row r="201" spans="1:13" ht="15.75">
      <c r="A201" s="290" t="s">
        <v>384</v>
      </c>
      <c r="B201" s="291">
        <v>500</v>
      </c>
      <c r="C201" s="290">
        <v>2</v>
      </c>
      <c r="D201" s="290" t="s">
        <v>385</v>
      </c>
      <c r="E201" s="291">
        <f>B201*C201</f>
        <v>1000</v>
      </c>
      <c r="F201" s="290">
        <v>1</v>
      </c>
      <c r="G201" s="310">
        <f>B201*F201</f>
        <v>500</v>
      </c>
      <c r="H201" s="290"/>
      <c r="I201" s="310">
        <f>B201*H201</f>
        <v>0</v>
      </c>
      <c r="J201" s="290">
        <v>1</v>
      </c>
      <c r="K201" s="310">
        <f>B201*J201</f>
        <v>500</v>
      </c>
      <c r="L201" s="290"/>
      <c r="M201" s="310">
        <f>B201*L201</f>
        <v>0</v>
      </c>
    </row>
    <row r="202" spans="1:13" ht="15.75">
      <c r="A202" s="294" t="s">
        <v>383</v>
      </c>
      <c r="B202" s="311">
        <v>180</v>
      </c>
      <c r="C202" s="296">
        <v>50</v>
      </c>
      <c r="D202" s="290" t="s">
        <v>378</v>
      </c>
      <c r="E202" s="291">
        <f t="shared" ref="E202:E221" si="70">B202*C202</f>
        <v>9000</v>
      </c>
      <c r="F202" s="290">
        <v>25</v>
      </c>
      <c r="G202" s="310">
        <f t="shared" ref="G202:G228" si="71">B202*F202</f>
        <v>4500</v>
      </c>
      <c r="H202" s="297"/>
      <c r="I202" s="310">
        <f t="shared" ref="I202:I228" si="72">B202*H202</f>
        <v>0</v>
      </c>
      <c r="J202" s="297">
        <v>25</v>
      </c>
      <c r="K202" s="310">
        <f t="shared" ref="K202:K228" si="73">B202*J202</f>
        <v>4500</v>
      </c>
      <c r="L202" s="297"/>
      <c r="M202" s="310">
        <f t="shared" ref="M202:M228" si="74">B202*L202</f>
        <v>0</v>
      </c>
    </row>
    <row r="203" spans="1:13" ht="15.75">
      <c r="A203" s="290" t="s">
        <v>386</v>
      </c>
      <c r="B203" s="291">
        <v>650</v>
      </c>
      <c r="C203" s="290">
        <v>2</v>
      </c>
      <c r="D203" s="290" t="s">
        <v>374</v>
      </c>
      <c r="E203" s="291">
        <f t="shared" si="70"/>
        <v>1300</v>
      </c>
      <c r="F203" s="290"/>
      <c r="G203" s="310">
        <f t="shared" si="71"/>
        <v>0</v>
      </c>
      <c r="H203" s="290">
        <v>2</v>
      </c>
      <c r="I203" s="310">
        <f t="shared" si="72"/>
        <v>1300</v>
      </c>
      <c r="J203" s="290"/>
      <c r="K203" s="310">
        <f t="shared" si="73"/>
        <v>0</v>
      </c>
      <c r="L203" s="290"/>
      <c r="M203" s="310">
        <f t="shared" si="74"/>
        <v>0</v>
      </c>
    </row>
    <row r="204" spans="1:13" ht="15.75">
      <c r="A204" s="290" t="s">
        <v>387</v>
      </c>
      <c r="B204" s="291">
        <v>953</v>
      </c>
      <c r="C204" s="290">
        <v>2</v>
      </c>
      <c r="D204" s="290" t="s">
        <v>374</v>
      </c>
      <c r="E204" s="291">
        <f t="shared" si="70"/>
        <v>1906</v>
      </c>
      <c r="F204" s="290"/>
      <c r="G204" s="310">
        <f t="shared" si="71"/>
        <v>0</v>
      </c>
      <c r="H204" s="290">
        <v>2</v>
      </c>
      <c r="I204" s="310">
        <f t="shared" si="72"/>
        <v>1906</v>
      </c>
      <c r="J204" s="290"/>
      <c r="K204" s="310">
        <f t="shared" si="73"/>
        <v>0</v>
      </c>
      <c r="L204" s="290"/>
      <c r="M204" s="310">
        <f t="shared" si="74"/>
        <v>0</v>
      </c>
    </row>
    <row r="205" spans="1:13" ht="15.75">
      <c r="A205" s="290" t="s">
        <v>388</v>
      </c>
      <c r="B205" s="291">
        <v>1053</v>
      </c>
      <c r="C205" s="290">
        <v>2</v>
      </c>
      <c r="D205" s="290" t="s">
        <v>374</v>
      </c>
      <c r="E205" s="291">
        <f t="shared" si="70"/>
        <v>2106</v>
      </c>
      <c r="F205" s="290"/>
      <c r="G205" s="310">
        <f t="shared" si="71"/>
        <v>0</v>
      </c>
      <c r="H205" s="290">
        <v>2</v>
      </c>
      <c r="I205" s="310">
        <f t="shared" si="72"/>
        <v>2106</v>
      </c>
      <c r="J205" s="290"/>
      <c r="K205" s="310">
        <f t="shared" si="73"/>
        <v>0</v>
      </c>
      <c r="L205" s="290"/>
      <c r="M205" s="310">
        <f t="shared" si="74"/>
        <v>0</v>
      </c>
    </row>
    <row r="206" spans="1:13" ht="15.75">
      <c r="A206" s="290" t="s">
        <v>389</v>
      </c>
      <c r="B206" s="291">
        <v>4464</v>
      </c>
      <c r="C206" s="290">
        <v>4</v>
      </c>
      <c r="D206" s="290" t="s">
        <v>374</v>
      </c>
      <c r="E206" s="291">
        <f t="shared" si="70"/>
        <v>17856</v>
      </c>
      <c r="F206" s="290">
        <v>2</v>
      </c>
      <c r="G206" s="310">
        <f t="shared" si="71"/>
        <v>8928</v>
      </c>
      <c r="H206" s="290"/>
      <c r="I206" s="310">
        <f t="shared" si="72"/>
        <v>0</v>
      </c>
      <c r="J206" s="290">
        <v>2</v>
      </c>
      <c r="K206" s="310">
        <f t="shared" si="73"/>
        <v>8928</v>
      </c>
      <c r="L206" s="290"/>
      <c r="M206" s="310">
        <f t="shared" si="74"/>
        <v>0</v>
      </c>
    </row>
    <row r="207" spans="1:13" ht="15.75">
      <c r="A207" s="290" t="s">
        <v>390</v>
      </c>
      <c r="B207" s="291">
        <v>7392</v>
      </c>
      <c r="C207" s="290">
        <v>2</v>
      </c>
      <c r="D207" s="290" t="s">
        <v>374</v>
      </c>
      <c r="E207" s="291">
        <f t="shared" si="70"/>
        <v>14784</v>
      </c>
      <c r="F207" s="290">
        <v>1</v>
      </c>
      <c r="G207" s="310">
        <f t="shared" si="71"/>
        <v>7392</v>
      </c>
      <c r="H207" s="290"/>
      <c r="I207" s="310">
        <f t="shared" si="72"/>
        <v>0</v>
      </c>
      <c r="J207" s="290">
        <v>1</v>
      </c>
      <c r="K207" s="310">
        <f t="shared" si="73"/>
        <v>7392</v>
      </c>
      <c r="L207" s="290"/>
      <c r="M207" s="310">
        <f t="shared" si="74"/>
        <v>0</v>
      </c>
    </row>
    <row r="208" spans="1:13" ht="15.75">
      <c r="A208" s="290" t="s">
        <v>391</v>
      </c>
      <c r="B208" s="291">
        <v>10696</v>
      </c>
      <c r="C208" s="290">
        <v>2</v>
      </c>
      <c r="D208" s="290" t="s">
        <v>374</v>
      </c>
      <c r="E208" s="291">
        <f t="shared" si="70"/>
        <v>21392</v>
      </c>
      <c r="F208" s="290">
        <v>1</v>
      </c>
      <c r="G208" s="310">
        <f t="shared" si="71"/>
        <v>10696</v>
      </c>
      <c r="H208" s="290"/>
      <c r="I208" s="310">
        <f t="shared" si="72"/>
        <v>0</v>
      </c>
      <c r="J208" s="290">
        <v>1</v>
      </c>
      <c r="K208" s="310">
        <f t="shared" si="73"/>
        <v>10696</v>
      </c>
      <c r="L208" s="290"/>
      <c r="M208" s="310">
        <f t="shared" si="74"/>
        <v>0</v>
      </c>
    </row>
    <row r="209" spans="1:13" ht="15.75">
      <c r="A209" s="312" t="s">
        <v>392</v>
      </c>
      <c r="B209" s="313">
        <v>15650</v>
      </c>
      <c r="C209" s="312">
        <v>1</v>
      </c>
      <c r="D209" s="299" t="s">
        <v>374</v>
      </c>
      <c r="E209" s="291">
        <f t="shared" si="70"/>
        <v>15650</v>
      </c>
      <c r="F209" s="299">
        <v>1</v>
      </c>
      <c r="G209" s="310">
        <f t="shared" si="71"/>
        <v>15650</v>
      </c>
      <c r="H209" s="312"/>
      <c r="I209" s="310">
        <f t="shared" si="72"/>
        <v>0</v>
      </c>
      <c r="J209" s="290"/>
      <c r="K209" s="310">
        <f t="shared" si="73"/>
        <v>0</v>
      </c>
      <c r="L209" s="299"/>
      <c r="M209" s="310">
        <f t="shared" si="74"/>
        <v>0</v>
      </c>
    </row>
    <row r="210" spans="1:13" ht="15.75">
      <c r="A210" s="290" t="s">
        <v>393</v>
      </c>
      <c r="B210" s="291">
        <v>1250</v>
      </c>
      <c r="C210" s="290">
        <v>8</v>
      </c>
      <c r="D210" s="290" t="s">
        <v>374</v>
      </c>
      <c r="E210" s="291">
        <f t="shared" si="70"/>
        <v>10000</v>
      </c>
      <c r="F210" s="290">
        <v>2</v>
      </c>
      <c r="G210" s="310">
        <f t="shared" si="71"/>
        <v>2500</v>
      </c>
      <c r="H210" s="290">
        <v>2</v>
      </c>
      <c r="I210" s="310">
        <f t="shared" si="72"/>
        <v>2500</v>
      </c>
      <c r="J210" s="290">
        <v>2</v>
      </c>
      <c r="K210" s="310">
        <f t="shared" si="73"/>
        <v>2500</v>
      </c>
      <c r="L210" s="290">
        <v>2</v>
      </c>
      <c r="M210" s="310">
        <f t="shared" si="74"/>
        <v>2500</v>
      </c>
    </row>
    <row r="211" spans="1:13" ht="15.75">
      <c r="A211" s="290" t="s">
        <v>394</v>
      </c>
      <c r="B211" s="291">
        <v>1831</v>
      </c>
      <c r="C211" s="290">
        <v>6</v>
      </c>
      <c r="D211" s="290" t="s">
        <v>374</v>
      </c>
      <c r="E211" s="291">
        <f t="shared" si="70"/>
        <v>10986</v>
      </c>
      <c r="F211" s="290">
        <v>2</v>
      </c>
      <c r="G211" s="310">
        <f t="shared" si="71"/>
        <v>3662</v>
      </c>
      <c r="H211" s="290">
        <v>2</v>
      </c>
      <c r="I211" s="310">
        <f t="shared" si="72"/>
        <v>3662</v>
      </c>
      <c r="J211" s="290"/>
      <c r="K211" s="310">
        <f t="shared" si="73"/>
        <v>0</v>
      </c>
      <c r="L211" s="290">
        <v>2</v>
      </c>
      <c r="M211" s="310">
        <f t="shared" si="74"/>
        <v>3662</v>
      </c>
    </row>
    <row r="212" spans="1:13" ht="15.75">
      <c r="A212" s="299" t="s">
        <v>395</v>
      </c>
      <c r="B212" s="300">
        <v>2878</v>
      </c>
      <c r="C212" s="299">
        <v>2</v>
      </c>
      <c r="D212" s="299" t="s">
        <v>378</v>
      </c>
      <c r="E212" s="291">
        <f t="shared" si="70"/>
        <v>5756</v>
      </c>
      <c r="F212" s="299">
        <v>1</v>
      </c>
      <c r="G212" s="310">
        <f t="shared" si="71"/>
        <v>2878</v>
      </c>
      <c r="H212" s="299">
        <v>1</v>
      </c>
      <c r="I212" s="310">
        <f t="shared" si="72"/>
        <v>2878</v>
      </c>
      <c r="J212" s="290"/>
      <c r="K212" s="310">
        <f t="shared" si="73"/>
        <v>0</v>
      </c>
      <c r="L212" s="299"/>
      <c r="M212" s="310">
        <f t="shared" si="74"/>
        <v>0</v>
      </c>
    </row>
    <row r="213" spans="1:13" ht="15.75">
      <c r="A213" s="290" t="s">
        <v>396</v>
      </c>
      <c r="B213" s="291">
        <v>4046</v>
      </c>
      <c r="C213" s="290">
        <v>2</v>
      </c>
      <c r="D213" s="299" t="s">
        <v>378</v>
      </c>
      <c r="E213" s="291">
        <f t="shared" si="70"/>
        <v>8092</v>
      </c>
      <c r="F213" s="290">
        <v>1</v>
      </c>
      <c r="G213" s="310">
        <f t="shared" si="71"/>
        <v>4046</v>
      </c>
      <c r="H213" s="290">
        <v>1</v>
      </c>
      <c r="I213" s="310">
        <f t="shared" si="72"/>
        <v>4046</v>
      </c>
      <c r="J213" s="290"/>
      <c r="K213" s="310">
        <f t="shared" si="73"/>
        <v>0</v>
      </c>
      <c r="L213" s="290"/>
      <c r="M213" s="310">
        <f t="shared" si="74"/>
        <v>0</v>
      </c>
    </row>
    <row r="214" spans="1:13" ht="15.75">
      <c r="A214" s="290" t="s">
        <v>397</v>
      </c>
      <c r="B214" s="291">
        <v>100</v>
      </c>
      <c r="C214" s="290">
        <v>2</v>
      </c>
      <c r="D214" s="290" t="s">
        <v>398</v>
      </c>
      <c r="E214" s="291">
        <f t="shared" si="70"/>
        <v>200</v>
      </c>
      <c r="F214" s="290">
        <v>1</v>
      </c>
      <c r="G214" s="310">
        <f t="shared" si="71"/>
        <v>100</v>
      </c>
      <c r="H214" s="290"/>
      <c r="I214" s="310">
        <f t="shared" si="72"/>
        <v>0</v>
      </c>
      <c r="J214" s="290">
        <v>1</v>
      </c>
      <c r="K214" s="310">
        <f t="shared" si="73"/>
        <v>100</v>
      </c>
      <c r="L214" s="290"/>
      <c r="M214" s="310">
        <f t="shared" si="74"/>
        <v>0</v>
      </c>
    </row>
    <row r="215" spans="1:13" ht="15.75">
      <c r="A215" s="290" t="s">
        <v>401</v>
      </c>
      <c r="B215" s="291">
        <v>19</v>
      </c>
      <c r="C215" s="290">
        <v>50</v>
      </c>
      <c r="D215" s="290" t="s">
        <v>378</v>
      </c>
      <c r="E215" s="291">
        <f t="shared" si="70"/>
        <v>950</v>
      </c>
      <c r="F215" s="290">
        <v>25</v>
      </c>
      <c r="G215" s="310">
        <f t="shared" si="71"/>
        <v>475</v>
      </c>
      <c r="H215" s="290"/>
      <c r="I215" s="310">
        <f t="shared" si="72"/>
        <v>0</v>
      </c>
      <c r="J215" s="290">
        <v>25</v>
      </c>
      <c r="K215" s="310">
        <f t="shared" si="73"/>
        <v>475</v>
      </c>
      <c r="L215" s="290"/>
      <c r="M215" s="310">
        <f t="shared" si="74"/>
        <v>0</v>
      </c>
    </row>
    <row r="216" spans="1:13" ht="15.75">
      <c r="A216" s="290" t="s">
        <v>402</v>
      </c>
      <c r="B216" s="291">
        <v>16</v>
      </c>
      <c r="C216" s="290">
        <v>40</v>
      </c>
      <c r="D216" s="290" t="s">
        <v>378</v>
      </c>
      <c r="E216" s="291">
        <f t="shared" si="70"/>
        <v>640</v>
      </c>
      <c r="F216" s="290">
        <v>20</v>
      </c>
      <c r="G216" s="310">
        <f t="shared" si="71"/>
        <v>320</v>
      </c>
      <c r="H216" s="290"/>
      <c r="I216" s="310">
        <f t="shared" si="72"/>
        <v>0</v>
      </c>
      <c r="J216" s="290">
        <v>20</v>
      </c>
      <c r="K216" s="310">
        <f t="shared" si="73"/>
        <v>320</v>
      </c>
      <c r="L216" s="290"/>
      <c r="M216" s="310">
        <f t="shared" si="74"/>
        <v>0</v>
      </c>
    </row>
    <row r="217" spans="1:13" ht="15.75">
      <c r="A217" s="290" t="s">
        <v>404</v>
      </c>
      <c r="B217" s="291">
        <v>58</v>
      </c>
      <c r="C217" s="290">
        <v>30</v>
      </c>
      <c r="D217" s="290" t="s">
        <v>378</v>
      </c>
      <c r="E217" s="291">
        <f t="shared" si="70"/>
        <v>1740</v>
      </c>
      <c r="F217" s="290">
        <v>30</v>
      </c>
      <c r="G217" s="310">
        <f t="shared" si="71"/>
        <v>1740</v>
      </c>
      <c r="H217" s="290"/>
      <c r="I217" s="310">
        <f t="shared" si="72"/>
        <v>0</v>
      </c>
      <c r="J217" s="290"/>
      <c r="K217" s="310">
        <f t="shared" si="73"/>
        <v>0</v>
      </c>
      <c r="L217" s="290"/>
      <c r="M217" s="310">
        <f t="shared" si="74"/>
        <v>0</v>
      </c>
    </row>
    <row r="218" spans="1:13" ht="15.75">
      <c r="A218" s="290" t="s">
        <v>405</v>
      </c>
      <c r="B218" s="291">
        <v>74</v>
      </c>
      <c r="C218" s="290">
        <v>50</v>
      </c>
      <c r="D218" s="290" t="s">
        <v>378</v>
      </c>
      <c r="E218" s="291">
        <f t="shared" si="70"/>
        <v>3700</v>
      </c>
      <c r="F218" s="290">
        <v>50</v>
      </c>
      <c r="G218" s="310">
        <f t="shared" si="71"/>
        <v>3700</v>
      </c>
      <c r="H218" s="290"/>
      <c r="I218" s="310">
        <f t="shared" si="72"/>
        <v>0</v>
      </c>
      <c r="J218" s="290"/>
      <c r="K218" s="310">
        <f t="shared" si="73"/>
        <v>0</v>
      </c>
      <c r="L218" s="290"/>
      <c r="M218" s="310">
        <f t="shared" si="74"/>
        <v>0</v>
      </c>
    </row>
    <row r="219" spans="1:13" ht="15.75">
      <c r="A219" s="290" t="s">
        <v>406</v>
      </c>
      <c r="B219" s="291">
        <v>32</v>
      </c>
      <c r="C219" s="290">
        <v>30</v>
      </c>
      <c r="D219" s="290" t="s">
        <v>378</v>
      </c>
      <c r="E219" s="291">
        <f t="shared" si="70"/>
        <v>960</v>
      </c>
      <c r="F219" s="290">
        <v>30</v>
      </c>
      <c r="G219" s="310">
        <f t="shared" si="71"/>
        <v>960</v>
      </c>
      <c r="H219" s="290"/>
      <c r="I219" s="310">
        <f t="shared" si="72"/>
        <v>0</v>
      </c>
      <c r="J219" s="290"/>
      <c r="K219" s="310">
        <f t="shared" si="73"/>
        <v>0</v>
      </c>
      <c r="L219" s="290"/>
      <c r="M219" s="310">
        <f t="shared" si="74"/>
        <v>0</v>
      </c>
    </row>
    <row r="220" spans="1:13" ht="15.75">
      <c r="A220" s="290" t="s">
        <v>407</v>
      </c>
      <c r="B220" s="291">
        <v>92</v>
      </c>
      <c r="C220" s="290">
        <v>20</v>
      </c>
      <c r="D220" s="290" t="s">
        <v>378</v>
      </c>
      <c r="E220" s="291">
        <f t="shared" si="70"/>
        <v>1840</v>
      </c>
      <c r="F220" s="290">
        <v>20</v>
      </c>
      <c r="G220" s="310">
        <f t="shared" si="71"/>
        <v>1840</v>
      </c>
      <c r="H220" s="290"/>
      <c r="I220" s="310">
        <f t="shared" si="72"/>
        <v>0</v>
      </c>
      <c r="J220" s="290"/>
      <c r="K220" s="310">
        <f t="shared" si="73"/>
        <v>0</v>
      </c>
      <c r="L220" s="290"/>
      <c r="M220" s="310">
        <f t="shared" si="74"/>
        <v>0</v>
      </c>
    </row>
    <row r="221" spans="1:13" ht="15.75">
      <c r="A221" s="290" t="s">
        <v>408</v>
      </c>
      <c r="B221" s="291">
        <v>72</v>
      </c>
      <c r="C221" s="290">
        <v>60</v>
      </c>
      <c r="D221" s="290" t="s">
        <v>378</v>
      </c>
      <c r="E221" s="291">
        <f t="shared" si="70"/>
        <v>4320</v>
      </c>
      <c r="F221" s="290">
        <v>30</v>
      </c>
      <c r="G221" s="310">
        <f t="shared" si="71"/>
        <v>2160</v>
      </c>
      <c r="H221" s="290"/>
      <c r="I221" s="310">
        <f t="shared" si="72"/>
        <v>0</v>
      </c>
      <c r="J221" s="290">
        <v>30</v>
      </c>
      <c r="K221" s="310">
        <f t="shared" si="73"/>
        <v>2160</v>
      </c>
      <c r="L221" s="290"/>
      <c r="M221" s="310">
        <f t="shared" si="74"/>
        <v>0</v>
      </c>
    </row>
    <row r="222" spans="1:13" ht="15.75">
      <c r="A222" s="290" t="s">
        <v>409</v>
      </c>
      <c r="B222" s="291">
        <v>4200</v>
      </c>
      <c r="C222" s="290">
        <v>2</v>
      </c>
      <c r="D222" s="290" t="s">
        <v>410</v>
      </c>
      <c r="E222" s="291">
        <f t="shared" ref="E222:E228" si="75">B222*C222</f>
        <v>8400</v>
      </c>
      <c r="F222" s="290">
        <v>1</v>
      </c>
      <c r="G222" s="310">
        <f t="shared" si="71"/>
        <v>4200</v>
      </c>
      <c r="H222" s="290"/>
      <c r="I222" s="310">
        <f t="shared" si="72"/>
        <v>0</v>
      </c>
      <c r="J222" s="290">
        <v>1</v>
      </c>
      <c r="K222" s="310">
        <f t="shared" si="73"/>
        <v>4200</v>
      </c>
      <c r="L222" s="290"/>
      <c r="M222" s="310">
        <f t="shared" si="74"/>
        <v>0</v>
      </c>
    </row>
    <row r="223" spans="1:13" ht="15.75">
      <c r="A223" s="290" t="s">
        <v>653</v>
      </c>
      <c r="B223" s="291">
        <v>1300</v>
      </c>
      <c r="C223" s="290">
        <v>30</v>
      </c>
      <c r="D223" s="290" t="s">
        <v>378</v>
      </c>
      <c r="E223" s="291">
        <f t="shared" si="75"/>
        <v>39000</v>
      </c>
      <c r="F223" s="290">
        <v>15</v>
      </c>
      <c r="G223" s="310">
        <f t="shared" si="71"/>
        <v>19500</v>
      </c>
      <c r="H223" s="290"/>
      <c r="I223" s="310">
        <f t="shared" si="72"/>
        <v>0</v>
      </c>
      <c r="J223" s="290">
        <v>15</v>
      </c>
      <c r="K223" s="310">
        <f t="shared" si="73"/>
        <v>19500</v>
      </c>
      <c r="L223" s="290"/>
      <c r="M223" s="310">
        <f t="shared" si="74"/>
        <v>0</v>
      </c>
    </row>
    <row r="224" spans="1:13" ht="15.75">
      <c r="A224" s="290" t="s">
        <v>722</v>
      </c>
      <c r="B224" s="291">
        <v>1100</v>
      </c>
      <c r="C224" s="290">
        <v>30</v>
      </c>
      <c r="D224" s="290" t="s">
        <v>723</v>
      </c>
      <c r="E224" s="291">
        <f t="shared" si="75"/>
        <v>33000</v>
      </c>
      <c r="F224" s="290"/>
      <c r="G224" s="310"/>
      <c r="H224" s="290">
        <v>30</v>
      </c>
      <c r="I224" s="310">
        <f t="shared" si="72"/>
        <v>33000</v>
      </c>
      <c r="J224" s="290"/>
      <c r="K224" s="310"/>
      <c r="L224" s="290"/>
      <c r="M224" s="310">
        <f t="shared" si="74"/>
        <v>0</v>
      </c>
    </row>
    <row r="225" spans="1:13" ht="15.75">
      <c r="A225" s="290" t="s">
        <v>724</v>
      </c>
      <c r="B225" s="291">
        <v>170</v>
      </c>
      <c r="C225" s="290">
        <v>12</v>
      </c>
      <c r="D225" s="290" t="s">
        <v>378</v>
      </c>
      <c r="E225" s="291">
        <f t="shared" si="75"/>
        <v>2040</v>
      </c>
      <c r="F225" s="290">
        <v>12</v>
      </c>
      <c r="G225" s="310">
        <f t="shared" si="71"/>
        <v>2040</v>
      </c>
      <c r="H225" s="290"/>
      <c r="I225" s="310"/>
      <c r="J225" s="290"/>
      <c r="K225" s="310"/>
      <c r="L225" s="290"/>
      <c r="M225" s="310">
        <f t="shared" si="74"/>
        <v>0</v>
      </c>
    </row>
    <row r="226" spans="1:13" ht="15.75">
      <c r="A226" s="290" t="s">
        <v>725</v>
      </c>
      <c r="B226" s="291">
        <v>120</v>
      </c>
      <c r="C226" s="290">
        <v>12</v>
      </c>
      <c r="D226" s="290" t="s">
        <v>378</v>
      </c>
      <c r="E226" s="291">
        <f t="shared" ref="E226" si="76">B226*C226</f>
        <v>1440</v>
      </c>
      <c r="F226" s="290">
        <v>12</v>
      </c>
      <c r="G226" s="310">
        <f t="shared" ref="G226" si="77">B226*F226</f>
        <v>1440</v>
      </c>
      <c r="H226" s="290"/>
      <c r="I226" s="310"/>
      <c r="J226" s="290"/>
      <c r="K226" s="310"/>
      <c r="L226" s="290"/>
      <c r="M226" s="310">
        <f t="shared" si="74"/>
        <v>0</v>
      </c>
    </row>
    <row r="227" spans="1:13" ht="15.75">
      <c r="A227" s="290" t="s">
        <v>726</v>
      </c>
      <c r="B227" s="291">
        <v>50</v>
      </c>
      <c r="C227" s="290">
        <v>12</v>
      </c>
      <c r="D227" s="290" t="s">
        <v>378</v>
      </c>
      <c r="E227" s="291">
        <f t="shared" ref="E227" si="78">B227*C227</f>
        <v>600</v>
      </c>
      <c r="F227" s="290">
        <v>12</v>
      </c>
      <c r="G227" s="310">
        <f t="shared" ref="G227" si="79">B227*F227</f>
        <v>600</v>
      </c>
      <c r="H227" s="290"/>
      <c r="I227" s="310"/>
      <c r="J227" s="290"/>
      <c r="K227" s="310"/>
      <c r="L227" s="290"/>
      <c r="M227" s="310">
        <f t="shared" si="74"/>
        <v>0</v>
      </c>
    </row>
    <row r="228" spans="1:13" ht="15.75">
      <c r="A228" s="290" t="s">
        <v>381</v>
      </c>
      <c r="B228" s="291">
        <v>620</v>
      </c>
      <c r="C228" s="290">
        <v>50</v>
      </c>
      <c r="D228" s="290" t="s">
        <v>378</v>
      </c>
      <c r="E228" s="291">
        <f t="shared" si="75"/>
        <v>31000</v>
      </c>
      <c r="F228" s="290">
        <v>10</v>
      </c>
      <c r="G228" s="310">
        <f t="shared" si="71"/>
        <v>6200</v>
      </c>
      <c r="H228" s="290">
        <v>10</v>
      </c>
      <c r="I228" s="310">
        <f t="shared" si="72"/>
        <v>6200</v>
      </c>
      <c r="J228" s="290">
        <v>10</v>
      </c>
      <c r="K228" s="310">
        <f t="shared" si="73"/>
        <v>6200</v>
      </c>
      <c r="L228" s="290">
        <v>20</v>
      </c>
      <c r="M228" s="310">
        <f t="shared" si="74"/>
        <v>12400</v>
      </c>
    </row>
    <row r="229" spans="1:13" ht="15.75">
      <c r="A229" s="303"/>
      <c r="B229" s="303"/>
      <c r="C229" s="368" t="s">
        <v>377</v>
      </c>
      <c r="D229" s="368"/>
      <c r="E229" s="292">
        <f>SUM(E201:E228)</f>
        <v>249658</v>
      </c>
      <c r="F229" s="292"/>
      <c r="G229" s="292">
        <f>SUM(G201:G228)</f>
        <v>106027</v>
      </c>
      <c r="H229" s="292"/>
      <c r="I229" s="292">
        <f>SUM(I201:I228)</f>
        <v>57598</v>
      </c>
      <c r="J229" s="292"/>
      <c r="K229" s="292">
        <f>SUM(K201:K228)</f>
        <v>67471</v>
      </c>
      <c r="L229" s="292"/>
      <c r="M229" s="292">
        <f>SUM(M201:M228)</f>
        <v>18562</v>
      </c>
    </row>
    <row r="230" spans="1:13" ht="15.75">
      <c r="A230" s="303"/>
      <c r="B230" s="303"/>
      <c r="C230" s="304"/>
      <c r="D230" s="304"/>
      <c r="E230" s="292"/>
      <c r="F230" s="292"/>
      <c r="G230" s="292"/>
      <c r="H230" s="292"/>
      <c r="I230" s="292"/>
      <c r="J230" s="292"/>
      <c r="K230" s="292"/>
      <c r="L230" s="292"/>
      <c r="M230" s="314"/>
    </row>
    <row r="231" spans="1:13" ht="15.75">
      <c r="A231" s="315" t="s">
        <v>411</v>
      </c>
      <c r="B231" s="303"/>
      <c r="C231" s="303"/>
      <c r="D231" s="303"/>
      <c r="E231" s="316"/>
      <c r="F231" s="303"/>
      <c r="G231" s="303"/>
      <c r="H231" s="303"/>
      <c r="I231" s="303"/>
      <c r="J231" s="303"/>
      <c r="K231" s="303"/>
      <c r="L231" s="303"/>
      <c r="M231" s="303"/>
    </row>
    <row r="232" spans="1:13" ht="15.75">
      <c r="A232" s="369" t="s">
        <v>360</v>
      </c>
      <c r="B232" s="371" t="s">
        <v>361</v>
      </c>
      <c r="C232" s="371" t="s">
        <v>362</v>
      </c>
      <c r="D232" s="371" t="s">
        <v>363</v>
      </c>
      <c r="E232" s="371" t="s">
        <v>364</v>
      </c>
      <c r="F232" s="365" t="s">
        <v>365</v>
      </c>
      <c r="G232" s="365"/>
      <c r="H232" s="365" t="s">
        <v>366</v>
      </c>
      <c r="I232" s="365"/>
      <c r="J232" s="365" t="s">
        <v>367</v>
      </c>
      <c r="K232" s="365"/>
      <c r="L232" s="365" t="s">
        <v>368</v>
      </c>
      <c r="M232" s="365"/>
    </row>
    <row r="233" spans="1:13" ht="15.75">
      <c r="A233" s="370"/>
      <c r="B233" s="371"/>
      <c r="C233" s="371"/>
      <c r="D233" s="371"/>
      <c r="E233" s="371"/>
      <c r="F233" s="289" t="s">
        <v>369</v>
      </c>
      <c r="G233" s="289" t="s">
        <v>370</v>
      </c>
      <c r="H233" s="289" t="s">
        <v>369</v>
      </c>
      <c r="I233" s="289" t="s">
        <v>370</v>
      </c>
      <c r="J233" s="289" t="s">
        <v>369</v>
      </c>
      <c r="K233" s="289" t="s">
        <v>370</v>
      </c>
      <c r="L233" s="289" t="s">
        <v>369</v>
      </c>
      <c r="M233" s="289" t="s">
        <v>370</v>
      </c>
    </row>
    <row r="234" spans="1:13" ht="15.75">
      <c r="A234" s="290" t="s">
        <v>383</v>
      </c>
      <c r="B234" s="291">
        <v>180</v>
      </c>
      <c r="C234" s="290">
        <v>750</v>
      </c>
      <c r="D234" s="290" t="s">
        <v>378</v>
      </c>
      <c r="E234" s="291">
        <f>B234*C234</f>
        <v>135000</v>
      </c>
      <c r="F234" s="290">
        <v>200</v>
      </c>
      <c r="G234" s="291">
        <f>B234*F234</f>
        <v>36000</v>
      </c>
      <c r="H234" s="290">
        <v>200</v>
      </c>
      <c r="I234" s="291">
        <f>B234*H234</f>
        <v>36000</v>
      </c>
      <c r="J234" s="290">
        <v>200</v>
      </c>
      <c r="K234" s="291">
        <f>B234*J234</f>
        <v>36000</v>
      </c>
      <c r="L234" s="290">
        <v>150</v>
      </c>
      <c r="M234" s="291">
        <f>B234*L234</f>
        <v>27000</v>
      </c>
    </row>
    <row r="235" spans="1:13" ht="15.75">
      <c r="A235" s="290" t="s">
        <v>412</v>
      </c>
      <c r="B235" s="291">
        <v>133</v>
      </c>
      <c r="C235" s="290">
        <v>20</v>
      </c>
      <c r="D235" s="290" t="s">
        <v>378</v>
      </c>
      <c r="E235" s="291">
        <f t="shared" ref="E235:E265" si="80">B235*C235</f>
        <v>2660</v>
      </c>
      <c r="F235" s="290"/>
      <c r="G235" s="291">
        <f t="shared" ref="G235:G273" si="81">B235*F235</f>
        <v>0</v>
      </c>
      <c r="H235" s="290">
        <v>10</v>
      </c>
      <c r="I235" s="291">
        <f t="shared" ref="I235:I273" si="82">B235*H235</f>
        <v>1330</v>
      </c>
      <c r="J235" s="290"/>
      <c r="K235" s="291">
        <f t="shared" ref="K235:K273" si="83">B235*J235</f>
        <v>0</v>
      </c>
      <c r="L235" s="290">
        <v>10</v>
      </c>
      <c r="M235" s="291">
        <f t="shared" ref="M235:M273" si="84">B235*L235</f>
        <v>1330</v>
      </c>
    </row>
    <row r="236" spans="1:13" ht="15.75">
      <c r="A236" s="290" t="s">
        <v>413</v>
      </c>
      <c r="B236" s="291">
        <v>3</v>
      </c>
      <c r="C236" s="290">
        <v>2500</v>
      </c>
      <c r="D236" s="290" t="s">
        <v>378</v>
      </c>
      <c r="E236" s="291">
        <f t="shared" si="80"/>
        <v>7500</v>
      </c>
      <c r="F236" s="290">
        <v>1000</v>
      </c>
      <c r="G236" s="291">
        <f t="shared" si="81"/>
        <v>3000</v>
      </c>
      <c r="H236" s="290">
        <v>500</v>
      </c>
      <c r="I236" s="291">
        <f t="shared" si="82"/>
        <v>1500</v>
      </c>
      <c r="J236" s="290">
        <v>500</v>
      </c>
      <c r="K236" s="291">
        <f t="shared" si="83"/>
        <v>1500</v>
      </c>
      <c r="L236" s="290">
        <v>500</v>
      </c>
      <c r="M236" s="291">
        <f t="shared" si="84"/>
        <v>1500</v>
      </c>
    </row>
    <row r="237" spans="1:13" ht="15.75">
      <c r="A237" s="290" t="s">
        <v>414</v>
      </c>
      <c r="B237" s="291">
        <v>85</v>
      </c>
      <c r="C237" s="290">
        <v>800</v>
      </c>
      <c r="D237" s="290" t="s">
        <v>378</v>
      </c>
      <c r="E237" s="291">
        <f t="shared" si="80"/>
        <v>68000</v>
      </c>
      <c r="F237" s="290">
        <v>200</v>
      </c>
      <c r="G237" s="291">
        <f t="shared" si="81"/>
        <v>17000</v>
      </c>
      <c r="H237" s="290">
        <v>200</v>
      </c>
      <c r="I237" s="291">
        <f t="shared" si="82"/>
        <v>17000</v>
      </c>
      <c r="J237" s="290">
        <v>200</v>
      </c>
      <c r="K237" s="291">
        <f t="shared" si="83"/>
        <v>17000</v>
      </c>
      <c r="L237" s="290">
        <v>200</v>
      </c>
      <c r="M237" s="291">
        <f t="shared" si="84"/>
        <v>17000</v>
      </c>
    </row>
    <row r="238" spans="1:13" ht="15.75">
      <c r="A238" s="290" t="s">
        <v>415</v>
      </c>
      <c r="B238" s="291">
        <v>19</v>
      </c>
      <c r="C238" s="290">
        <v>100</v>
      </c>
      <c r="D238" s="290" t="s">
        <v>378</v>
      </c>
      <c r="E238" s="291">
        <f t="shared" si="80"/>
        <v>1900</v>
      </c>
      <c r="F238" s="290">
        <v>50</v>
      </c>
      <c r="G238" s="291">
        <f t="shared" si="81"/>
        <v>950</v>
      </c>
      <c r="H238" s="290"/>
      <c r="I238" s="291">
        <f t="shared" si="82"/>
        <v>0</v>
      </c>
      <c r="J238" s="290">
        <v>50</v>
      </c>
      <c r="K238" s="291">
        <f t="shared" si="83"/>
        <v>950</v>
      </c>
      <c r="L238" s="290"/>
      <c r="M238" s="291">
        <f t="shared" si="84"/>
        <v>0</v>
      </c>
    </row>
    <row r="239" spans="1:13" ht="15.75">
      <c r="A239" s="290" t="s">
        <v>399</v>
      </c>
      <c r="B239" s="291">
        <v>16</v>
      </c>
      <c r="C239" s="290">
        <v>100</v>
      </c>
      <c r="D239" s="290" t="s">
        <v>378</v>
      </c>
      <c r="E239" s="291">
        <f t="shared" si="80"/>
        <v>1600</v>
      </c>
      <c r="F239" s="290">
        <v>50</v>
      </c>
      <c r="G239" s="291">
        <f t="shared" si="81"/>
        <v>800</v>
      </c>
      <c r="H239" s="290"/>
      <c r="I239" s="291">
        <f t="shared" si="82"/>
        <v>0</v>
      </c>
      <c r="J239" s="290">
        <v>50</v>
      </c>
      <c r="K239" s="291">
        <f t="shared" si="83"/>
        <v>800</v>
      </c>
      <c r="L239" s="290"/>
      <c r="M239" s="291">
        <f t="shared" si="84"/>
        <v>0</v>
      </c>
    </row>
    <row r="240" spans="1:13" ht="15.75">
      <c r="A240" s="317" t="s">
        <v>416</v>
      </c>
      <c r="B240" s="310">
        <v>22</v>
      </c>
      <c r="C240" s="297">
        <v>60</v>
      </c>
      <c r="D240" s="298" t="s">
        <v>378</v>
      </c>
      <c r="E240" s="291">
        <f t="shared" si="80"/>
        <v>1320</v>
      </c>
      <c r="F240" s="297">
        <v>30</v>
      </c>
      <c r="G240" s="291">
        <f t="shared" si="81"/>
        <v>660</v>
      </c>
      <c r="H240" s="297"/>
      <c r="I240" s="291">
        <f t="shared" si="82"/>
        <v>0</v>
      </c>
      <c r="J240" s="297">
        <v>30</v>
      </c>
      <c r="K240" s="291">
        <f t="shared" si="83"/>
        <v>660</v>
      </c>
      <c r="L240" s="297"/>
      <c r="M240" s="291">
        <f t="shared" si="84"/>
        <v>0</v>
      </c>
    </row>
    <row r="241" spans="1:13" ht="15.75">
      <c r="A241" s="290" t="s">
        <v>400</v>
      </c>
      <c r="B241" s="291">
        <v>19</v>
      </c>
      <c r="C241" s="290">
        <v>200</v>
      </c>
      <c r="D241" s="290" t="s">
        <v>378</v>
      </c>
      <c r="E241" s="291">
        <f t="shared" si="80"/>
        <v>3800</v>
      </c>
      <c r="F241" s="290">
        <v>100</v>
      </c>
      <c r="G241" s="291">
        <f t="shared" si="81"/>
        <v>1900</v>
      </c>
      <c r="H241" s="290"/>
      <c r="I241" s="291">
        <f t="shared" si="82"/>
        <v>0</v>
      </c>
      <c r="J241" s="290">
        <v>100</v>
      </c>
      <c r="K241" s="291">
        <f t="shared" si="83"/>
        <v>1900</v>
      </c>
      <c r="L241" s="290"/>
      <c r="M241" s="291">
        <f t="shared" si="84"/>
        <v>0</v>
      </c>
    </row>
    <row r="242" spans="1:13" ht="15.75">
      <c r="A242" s="290" t="s">
        <v>417</v>
      </c>
      <c r="B242" s="291">
        <v>32</v>
      </c>
      <c r="C242" s="290">
        <v>800</v>
      </c>
      <c r="D242" s="290" t="s">
        <v>378</v>
      </c>
      <c r="E242" s="291">
        <f t="shared" si="80"/>
        <v>25600</v>
      </c>
      <c r="F242" s="290">
        <v>200</v>
      </c>
      <c r="G242" s="291">
        <f t="shared" si="81"/>
        <v>6400</v>
      </c>
      <c r="H242" s="290">
        <v>200</v>
      </c>
      <c r="I242" s="291">
        <f t="shared" si="82"/>
        <v>6400</v>
      </c>
      <c r="J242" s="290">
        <v>200</v>
      </c>
      <c r="K242" s="291">
        <f t="shared" si="83"/>
        <v>6400</v>
      </c>
      <c r="L242" s="290">
        <v>200</v>
      </c>
      <c r="M242" s="291">
        <f t="shared" si="84"/>
        <v>6400</v>
      </c>
    </row>
    <row r="243" spans="1:13" ht="15.75">
      <c r="A243" s="290" t="s">
        <v>418</v>
      </c>
      <c r="B243" s="291">
        <v>32</v>
      </c>
      <c r="C243" s="290">
        <v>60</v>
      </c>
      <c r="D243" s="290" t="s">
        <v>378</v>
      </c>
      <c r="E243" s="291">
        <f t="shared" si="80"/>
        <v>1920</v>
      </c>
      <c r="F243" s="290"/>
      <c r="G243" s="291">
        <f t="shared" si="81"/>
        <v>0</v>
      </c>
      <c r="H243" s="290">
        <v>30</v>
      </c>
      <c r="I243" s="291">
        <f t="shared" si="82"/>
        <v>960</v>
      </c>
      <c r="J243" s="290"/>
      <c r="K243" s="291">
        <f t="shared" si="83"/>
        <v>0</v>
      </c>
      <c r="L243" s="290">
        <v>30</v>
      </c>
      <c r="M243" s="291">
        <f t="shared" si="84"/>
        <v>960</v>
      </c>
    </row>
    <row r="244" spans="1:13" ht="15.75">
      <c r="A244" s="290" t="s">
        <v>654</v>
      </c>
      <c r="B244" s="291">
        <v>35</v>
      </c>
      <c r="C244" s="290">
        <v>60</v>
      </c>
      <c r="D244" s="290"/>
      <c r="E244" s="291">
        <f t="shared" si="80"/>
        <v>2100</v>
      </c>
      <c r="F244" s="290">
        <v>30</v>
      </c>
      <c r="G244" s="291">
        <f t="shared" si="81"/>
        <v>1050</v>
      </c>
      <c r="H244" s="290"/>
      <c r="I244" s="291">
        <f t="shared" si="82"/>
        <v>0</v>
      </c>
      <c r="J244" s="290">
        <v>30</v>
      </c>
      <c r="K244" s="291">
        <f t="shared" si="83"/>
        <v>1050</v>
      </c>
      <c r="L244" s="290"/>
      <c r="M244" s="291">
        <f t="shared" si="84"/>
        <v>0</v>
      </c>
    </row>
    <row r="245" spans="1:13" ht="15.75">
      <c r="A245" s="290" t="s">
        <v>655</v>
      </c>
      <c r="B245" s="291">
        <v>39</v>
      </c>
      <c r="C245" s="290">
        <v>40</v>
      </c>
      <c r="D245" s="290"/>
      <c r="E245" s="291">
        <f t="shared" si="80"/>
        <v>1560</v>
      </c>
      <c r="F245" s="290">
        <v>20</v>
      </c>
      <c r="G245" s="291">
        <f t="shared" si="81"/>
        <v>780</v>
      </c>
      <c r="H245" s="290"/>
      <c r="I245" s="291">
        <f t="shared" si="82"/>
        <v>0</v>
      </c>
      <c r="J245" s="290">
        <v>20</v>
      </c>
      <c r="K245" s="291">
        <f t="shared" si="83"/>
        <v>780</v>
      </c>
      <c r="L245" s="290"/>
      <c r="M245" s="291">
        <f t="shared" si="84"/>
        <v>0</v>
      </c>
    </row>
    <row r="246" spans="1:13" ht="15.75">
      <c r="A246" s="290" t="s">
        <v>656</v>
      </c>
      <c r="B246" s="291">
        <v>43</v>
      </c>
      <c r="C246" s="290">
        <v>30</v>
      </c>
      <c r="D246" s="290"/>
      <c r="E246" s="291">
        <f t="shared" si="80"/>
        <v>1290</v>
      </c>
      <c r="F246" s="290">
        <v>15</v>
      </c>
      <c r="G246" s="291">
        <f t="shared" si="81"/>
        <v>645</v>
      </c>
      <c r="H246" s="290"/>
      <c r="I246" s="291">
        <f t="shared" si="82"/>
        <v>0</v>
      </c>
      <c r="J246" s="290">
        <v>15</v>
      </c>
      <c r="K246" s="291">
        <f t="shared" si="83"/>
        <v>645</v>
      </c>
      <c r="L246" s="290"/>
      <c r="M246" s="291">
        <f t="shared" si="84"/>
        <v>0</v>
      </c>
    </row>
    <row r="247" spans="1:13" ht="15.75">
      <c r="A247" s="290" t="s">
        <v>657</v>
      </c>
      <c r="B247" s="291">
        <v>46</v>
      </c>
      <c r="C247" s="290">
        <v>30</v>
      </c>
      <c r="D247" s="290"/>
      <c r="E247" s="291">
        <f t="shared" si="80"/>
        <v>1380</v>
      </c>
      <c r="F247" s="290">
        <v>15</v>
      </c>
      <c r="G247" s="291">
        <f t="shared" si="81"/>
        <v>690</v>
      </c>
      <c r="H247" s="290"/>
      <c r="I247" s="291">
        <f t="shared" si="82"/>
        <v>0</v>
      </c>
      <c r="J247" s="290">
        <v>15</v>
      </c>
      <c r="K247" s="291">
        <f t="shared" si="83"/>
        <v>690</v>
      </c>
      <c r="L247" s="290"/>
      <c r="M247" s="291">
        <f t="shared" si="84"/>
        <v>0</v>
      </c>
    </row>
    <row r="248" spans="1:13" ht="15.75">
      <c r="A248" s="290" t="s">
        <v>419</v>
      </c>
      <c r="B248" s="291">
        <v>310</v>
      </c>
      <c r="C248" s="290">
        <v>80</v>
      </c>
      <c r="D248" s="290" t="s">
        <v>378</v>
      </c>
      <c r="E248" s="291">
        <f t="shared" si="80"/>
        <v>24800</v>
      </c>
      <c r="F248" s="290">
        <v>20</v>
      </c>
      <c r="G248" s="291">
        <f t="shared" si="81"/>
        <v>6200</v>
      </c>
      <c r="H248" s="290">
        <v>20</v>
      </c>
      <c r="I248" s="291">
        <f t="shared" si="82"/>
        <v>6200</v>
      </c>
      <c r="J248" s="290">
        <v>20</v>
      </c>
      <c r="K248" s="291">
        <f t="shared" si="83"/>
        <v>6200</v>
      </c>
      <c r="L248" s="290">
        <v>20</v>
      </c>
      <c r="M248" s="291">
        <f t="shared" si="84"/>
        <v>6200</v>
      </c>
    </row>
    <row r="249" spans="1:13" ht="15.75">
      <c r="A249" s="290" t="s">
        <v>401</v>
      </c>
      <c r="B249" s="291">
        <v>19</v>
      </c>
      <c r="C249" s="290">
        <v>100</v>
      </c>
      <c r="D249" s="290" t="s">
        <v>378</v>
      </c>
      <c r="E249" s="291">
        <f t="shared" si="80"/>
        <v>1900</v>
      </c>
      <c r="F249" s="290">
        <v>50</v>
      </c>
      <c r="G249" s="291">
        <f t="shared" si="81"/>
        <v>950</v>
      </c>
      <c r="H249" s="290"/>
      <c r="I249" s="291">
        <f t="shared" si="82"/>
        <v>0</v>
      </c>
      <c r="J249" s="290">
        <v>50</v>
      </c>
      <c r="K249" s="291">
        <f t="shared" si="83"/>
        <v>950</v>
      </c>
      <c r="L249" s="290"/>
      <c r="M249" s="291">
        <f t="shared" si="84"/>
        <v>0</v>
      </c>
    </row>
    <row r="250" spans="1:13" ht="15.75">
      <c r="A250" s="299" t="s">
        <v>403</v>
      </c>
      <c r="B250" s="300">
        <v>32</v>
      </c>
      <c r="C250" s="299">
        <v>800</v>
      </c>
      <c r="D250" s="299" t="s">
        <v>378</v>
      </c>
      <c r="E250" s="291">
        <f t="shared" si="80"/>
        <v>25600</v>
      </c>
      <c r="F250" s="299">
        <v>200</v>
      </c>
      <c r="G250" s="291">
        <f t="shared" si="81"/>
        <v>6400</v>
      </c>
      <c r="H250" s="299">
        <v>200</v>
      </c>
      <c r="I250" s="291">
        <f t="shared" si="82"/>
        <v>6400</v>
      </c>
      <c r="J250" s="299">
        <v>200</v>
      </c>
      <c r="K250" s="291">
        <f t="shared" si="83"/>
        <v>6400</v>
      </c>
      <c r="L250" s="299">
        <v>200</v>
      </c>
      <c r="M250" s="291">
        <f t="shared" si="84"/>
        <v>6400</v>
      </c>
    </row>
    <row r="251" spans="1:13" ht="15.75">
      <c r="A251" s="290" t="s">
        <v>420</v>
      </c>
      <c r="B251" s="291">
        <v>27</v>
      </c>
      <c r="C251" s="290">
        <v>50</v>
      </c>
      <c r="D251" s="290" t="s">
        <v>378</v>
      </c>
      <c r="E251" s="291">
        <f t="shared" si="80"/>
        <v>1350</v>
      </c>
      <c r="F251" s="290">
        <v>25</v>
      </c>
      <c r="G251" s="291">
        <f t="shared" si="81"/>
        <v>675</v>
      </c>
      <c r="H251" s="290"/>
      <c r="I251" s="291">
        <f t="shared" si="82"/>
        <v>0</v>
      </c>
      <c r="J251" s="290">
        <v>25</v>
      </c>
      <c r="K251" s="291">
        <f t="shared" si="83"/>
        <v>675</v>
      </c>
      <c r="L251" s="290"/>
      <c r="M251" s="291">
        <f t="shared" si="84"/>
        <v>0</v>
      </c>
    </row>
    <row r="252" spans="1:13" ht="15.75">
      <c r="A252" s="290" t="s">
        <v>421</v>
      </c>
      <c r="B252" s="291">
        <v>37</v>
      </c>
      <c r="C252" s="290">
        <v>60</v>
      </c>
      <c r="D252" s="290" t="s">
        <v>378</v>
      </c>
      <c r="E252" s="291">
        <f t="shared" si="80"/>
        <v>2220</v>
      </c>
      <c r="F252" s="290">
        <v>30</v>
      </c>
      <c r="G252" s="291">
        <f t="shared" si="81"/>
        <v>1110</v>
      </c>
      <c r="H252" s="290"/>
      <c r="I252" s="291">
        <f t="shared" si="82"/>
        <v>0</v>
      </c>
      <c r="J252" s="290">
        <v>30</v>
      </c>
      <c r="K252" s="291">
        <f t="shared" si="83"/>
        <v>1110</v>
      </c>
      <c r="L252" s="290"/>
      <c r="M252" s="291">
        <f t="shared" si="84"/>
        <v>0</v>
      </c>
    </row>
    <row r="253" spans="1:13" ht="15.75">
      <c r="A253" s="290" t="s">
        <v>404</v>
      </c>
      <c r="B253" s="291">
        <v>58</v>
      </c>
      <c r="C253" s="290">
        <v>600</v>
      </c>
      <c r="D253" s="290" t="s">
        <v>378</v>
      </c>
      <c r="E253" s="291">
        <f t="shared" si="80"/>
        <v>34800</v>
      </c>
      <c r="F253" s="290">
        <v>200</v>
      </c>
      <c r="G253" s="291">
        <f t="shared" si="81"/>
        <v>11600</v>
      </c>
      <c r="H253" s="290">
        <v>200</v>
      </c>
      <c r="I253" s="291">
        <f t="shared" si="82"/>
        <v>11600</v>
      </c>
      <c r="J253" s="290">
        <v>100</v>
      </c>
      <c r="K253" s="291">
        <f t="shared" si="83"/>
        <v>5800</v>
      </c>
      <c r="L253" s="290">
        <v>100</v>
      </c>
      <c r="M253" s="291">
        <f t="shared" si="84"/>
        <v>5800</v>
      </c>
    </row>
    <row r="254" spans="1:13" ht="15.75">
      <c r="A254" s="290" t="s">
        <v>422</v>
      </c>
      <c r="B254" s="291">
        <v>74</v>
      </c>
      <c r="C254" s="290">
        <v>1200</v>
      </c>
      <c r="D254" s="290" t="s">
        <v>378</v>
      </c>
      <c r="E254" s="291">
        <f t="shared" si="80"/>
        <v>88800</v>
      </c>
      <c r="F254" s="290">
        <v>300</v>
      </c>
      <c r="G254" s="291">
        <f t="shared" si="81"/>
        <v>22200</v>
      </c>
      <c r="H254" s="290">
        <v>300</v>
      </c>
      <c r="I254" s="291">
        <f t="shared" si="82"/>
        <v>22200</v>
      </c>
      <c r="J254" s="290">
        <v>300</v>
      </c>
      <c r="K254" s="291">
        <f t="shared" si="83"/>
        <v>22200</v>
      </c>
      <c r="L254" s="290">
        <v>300</v>
      </c>
      <c r="M254" s="291">
        <f t="shared" si="84"/>
        <v>22200</v>
      </c>
    </row>
    <row r="255" spans="1:13" ht="15.75">
      <c r="A255" s="290" t="s">
        <v>407</v>
      </c>
      <c r="B255" s="291">
        <v>92</v>
      </c>
      <c r="C255" s="290">
        <v>500</v>
      </c>
      <c r="D255" s="290" t="s">
        <v>378</v>
      </c>
      <c r="E255" s="291">
        <f t="shared" si="80"/>
        <v>46000</v>
      </c>
      <c r="F255" s="290">
        <v>200</v>
      </c>
      <c r="G255" s="291">
        <f t="shared" si="81"/>
        <v>18400</v>
      </c>
      <c r="H255" s="290">
        <v>100</v>
      </c>
      <c r="I255" s="291">
        <f t="shared" si="82"/>
        <v>9200</v>
      </c>
      <c r="J255" s="290">
        <v>100</v>
      </c>
      <c r="K255" s="291">
        <f t="shared" si="83"/>
        <v>9200</v>
      </c>
      <c r="L255" s="290">
        <v>100</v>
      </c>
      <c r="M255" s="291">
        <f t="shared" si="84"/>
        <v>9200</v>
      </c>
    </row>
    <row r="256" spans="1:13" ht="15.75">
      <c r="A256" s="290" t="s">
        <v>658</v>
      </c>
      <c r="B256" s="291">
        <v>136</v>
      </c>
      <c r="C256" s="290">
        <v>180</v>
      </c>
      <c r="D256" s="290" t="s">
        <v>378</v>
      </c>
      <c r="E256" s="291">
        <f t="shared" si="80"/>
        <v>24480</v>
      </c>
      <c r="F256" s="290">
        <v>45</v>
      </c>
      <c r="G256" s="291">
        <f t="shared" si="81"/>
        <v>6120</v>
      </c>
      <c r="H256" s="290">
        <v>45</v>
      </c>
      <c r="I256" s="291">
        <f t="shared" si="82"/>
        <v>6120</v>
      </c>
      <c r="J256" s="290">
        <v>45</v>
      </c>
      <c r="K256" s="291">
        <f t="shared" si="83"/>
        <v>6120</v>
      </c>
      <c r="L256" s="290">
        <v>45</v>
      </c>
      <c r="M256" s="291">
        <f t="shared" si="84"/>
        <v>6120</v>
      </c>
    </row>
    <row r="257" spans="1:13" ht="15.75">
      <c r="A257" s="290" t="s">
        <v>408</v>
      </c>
      <c r="B257" s="291">
        <v>72</v>
      </c>
      <c r="C257" s="290">
        <v>400</v>
      </c>
      <c r="D257" s="290" t="s">
        <v>378</v>
      </c>
      <c r="E257" s="291">
        <f t="shared" si="80"/>
        <v>28800</v>
      </c>
      <c r="F257" s="290">
        <v>100</v>
      </c>
      <c r="G257" s="291">
        <f t="shared" si="81"/>
        <v>7200</v>
      </c>
      <c r="H257" s="290">
        <v>100</v>
      </c>
      <c r="I257" s="291">
        <f t="shared" si="82"/>
        <v>7200</v>
      </c>
      <c r="J257" s="290">
        <v>100</v>
      </c>
      <c r="K257" s="291">
        <f t="shared" si="83"/>
        <v>7200</v>
      </c>
      <c r="L257" s="290">
        <v>100</v>
      </c>
      <c r="M257" s="291">
        <f t="shared" si="84"/>
        <v>7200</v>
      </c>
    </row>
    <row r="258" spans="1:13" ht="15.75">
      <c r="A258" s="290" t="s">
        <v>659</v>
      </c>
      <c r="B258" s="291">
        <v>85</v>
      </c>
      <c r="C258" s="290">
        <v>200</v>
      </c>
      <c r="D258" s="290" t="s">
        <v>378</v>
      </c>
      <c r="E258" s="291">
        <f t="shared" si="80"/>
        <v>17000</v>
      </c>
      <c r="F258" s="290">
        <v>100</v>
      </c>
      <c r="G258" s="291">
        <f t="shared" si="81"/>
        <v>8500</v>
      </c>
      <c r="H258" s="290"/>
      <c r="I258" s="291">
        <f t="shared" si="82"/>
        <v>0</v>
      </c>
      <c r="J258" s="290">
        <v>100</v>
      </c>
      <c r="K258" s="291">
        <f t="shared" si="83"/>
        <v>8500</v>
      </c>
      <c r="L258" s="290"/>
      <c r="M258" s="291">
        <f t="shared" si="84"/>
        <v>0</v>
      </c>
    </row>
    <row r="259" spans="1:13" ht="15.75">
      <c r="A259" s="290" t="s">
        <v>423</v>
      </c>
      <c r="B259" s="291">
        <v>4200</v>
      </c>
      <c r="C259" s="290">
        <v>35</v>
      </c>
      <c r="D259" s="290" t="s">
        <v>410</v>
      </c>
      <c r="E259" s="291">
        <f t="shared" si="80"/>
        <v>147000</v>
      </c>
      <c r="F259" s="290">
        <v>10</v>
      </c>
      <c r="G259" s="291">
        <f t="shared" si="81"/>
        <v>42000</v>
      </c>
      <c r="H259" s="290">
        <v>10</v>
      </c>
      <c r="I259" s="291">
        <f t="shared" si="82"/>
        <v>42000</v>
      </c>
      <c r="J259" s="290">
        <v>10</v>
      </c>
      <c r="K259" s="291">
        <f t="shared" si="83"/>
        <v>42000</v>
      </c>
      <c r="L259" s="290">
        <v>5</v>
      </c>
      <c r="M259" s="291">
        <f t="shared" si="84"/>
        <v>21000</v>
      </c>
    </row>
    <row r="260" spans="1:13" ht="15.75">
      <c r="A260" s="290" t="s">
        <v>425</v>
      </c>
      <c r="B260" s="291">
        <v>162</v>
      </c>
      <c r="C260" s="290">
        <v>40</v>
      </c>
      <c r="D260" s="290" t="s">
        <v>378</v>
      </c>
      <c r="E260" s="291">
        <f t="shared" si="80"/>
        <v>6480</v>
      </c>
      <c r="F260" s="290">
        <v>20</v>
      </c>
      <c r="G260" s="291">
        <f t="shared" si="81"/>
        <v>3240</v>
      </c>
      <c r="H260" s="290"/>
      <c r="I260" s="291">
        <f t="shared" si="82"/>
        <v>0</v>
      </c>
      <c r="J260" s="290">
        <v>20</v>
      </c>
      <c r="K260" s="291">
        <f t="shared" si="83"/>
        <v>3240</v>
      </c>
      <c r="L260" s="290"/>
      <c r="M260" s="291">
        <f t="shared" si="84"/>
        <v>0</v>
      </c>
    </row>
    <row r="261" spans="1:13" ht="15.75">
      <c r="A261" s="290" t="s">
        <v>426</v>
      </c>
      <c r="B261" s="291">
        <v>150</v>
      </c>
      <c r="C261" s="290">
        <v>140</v>
      </c>
      <c r="D261" s="290" t="s">
        <v>378</v>
      </c>
      <c r="E261" s="291">
        <f t="shared" si="80"/>
        <v>21000</v>
      </c>
      <c r="F261" s="290">
        <v>35</v>
      </c>
      <c r="G261" s="291">
        <f t="shared" si="81"/>
        <v>5250</v>
      </c>
      <c r="H261" s="290">
        <v>35</v>
      </c>
      <c r="I261" s="291">
        <f t="shared" si="82"/>
        <v>5250</v>
      </c>
      <c r="J261" s="290">
        <v>35</v>
      </c>
      <c r="K261" s="291">
        <f t="shared" si="83"/>
        <v>5250</v>
      </c>
      <c r="L261" s="290">
        <v>35</v>
      </c>
      <c r="M261" s="291">
        <f t="shared" si="84"/>
        <v>5250</v>
      </c>
    </row>
    <row r="262" spans="1:13" ht="15.75">
      <c r="A262" s="290" t="s">
        <v>427</v>
      </c>
      <c r="B262" s="291">
        <v>443</v>
      </c>
      <c r="C262" s="290">
        <v>50</v>
      </c>
      <c r="D262" s="290" t="s">
        <v>378</v>
      </c>
      <c r="E262" s="291">
        <f t="shared" si="80"/>
        <v>22150</v>
      </c>
      <c r="F262" s="290">
        <v>25</v>
      </c>
      <c r="G262" s="291">
        <f t="shared" si="81"/>
        <v>11075</v>
      </c>
      <c r="H262" s="290"/>
      <c r="I262" s="291">
        <f t="shared" si="82"/>
        <v>0</v>
      </c>
      <c r="J262" s="290">
        <v>25</v>
      </c>
      <c r="K262" s="291">
        <f t="shared" si="83"/>
        <v>11075</v>
      </c>
      <c r="L262" s="290"/>
      <c r="M262" s="291">
        <f t="shared" si="84"/>
        <v>0</v>
      </c>
    </row>
    <row r="263" spans="1:13" ht="15.75">
      <c r="A263" s="290" t="s">
        <v>428</v>
      </c>
      <c r="B263" s="291">
        <v>487</v>
      </c>
      <c r="C263" s="290">
        <v>20</v>
      </c>
      <c r="D263" s="290" t="s">
        <v>378</v>
      </c>
      <c r="E263" s="291">
        <f t="shared" si="80"/>
        <v>9740</v>
      </c>
      <c r="F263" s="290">
        <v>10</v>
      </c>
      <c r="G263" s="291">
        <f t="shared" si="81"/>
        <v>4870</v>
      </c>
      <c r="H263" s="290"/>
      <c r="I263" s="291">
        <f t="shared" si="82"/>
        <v>0</v>
      </c>
      <c r="J263" s="290">
        <v>10</v>
      </c>
      <c r="K263" s="291">
        <f t="shared" si="83"/>
        <v>4870</v>
      </c>
      <c r="L263" s="290"/>
      <c r="M263" s="291">
        <f t="shared" si="84"/>
        <v>0</v>
      </c>
    </row>
    <row r="264" spans="1:13" ht="15.75">
      <c r="A264" s="299" t="s">
        <v>429</v>
      </c>
      <c r="B264" s="300">
        <v>7</v>
      </c>
      <c r="C264" s="299">
        <v>1600</v>
      </c>
      <c r="D264" s="299" t="s">
        <v>378</v>
      </c>
      <c r="E264" s="291">
        <f t="shared" si="80"/>
        <v>11200</v>
      </c>
      <c r="F264" s="299">
        <v>400</v>
      </c>
      <c r="G264" s="291">
        <f t="shared" si="81"/>
        <v>2800</v>
      </c>
      <c r="H264" s="299">
        <v>400</v>
      </c>
      <c r="I264" s="291">
        <f t="shared" si="82"/>
        <v>2800</v>
      </c>
      <c r="J264" s="299">
        <v>400</v>
      </c>
      <c r="K264" s="291">
        <f t="shared" si="83"/>
        <v>2800</v>
      </c>
      <c r="L264" s="299">
        <v>400</v>
      </c>
      <c r="M264" s="291">
        <f t="shared" si="84"/>
        <v>2800</v>
      </c>
    </row>
    <row r="265" spans="1:13" ht="15.75">
      <c r="A265" s="290" t="s">
        <v>430</v>
      </c>
      <c r="B265" s="291">
        <v>12</v>
      </c>
      <c r="C265" s="290">
        <v>400</v>
      </c>
      <c r="D265" s="290" t="s">
        <v>378</v>
      </c>
      <c r="E265" s="291">
        <f t="shared" si="80"/>
        <v>4800</v>
      </c>
      <c r="F265" s="290">
        <v>100</v>
      </c>
      <c r="G265" s="291">
        <f t="shared" si="81"/>
        <v>1200</v>
      </c>
      <c r="H265" s="290">
        <v>100</v>
      </c>
      <c r="I265" s="291">
        <f t="shared" si="82"/>
        <v>1200</v>
      </c>
      <c r="J265" s="290">
        <v>100</v>
      </c>
      <c r="K265" s="291">
        <f t="shared" si="83"/>
        <v>1200</v>
      </c>
      <c r="L265" s="290">
        <v>100</v>
      </c>
      <c r="M265" s="291">
        <f t="shared" si="84"/>
        <v>1200</v>
      </c>
    </row>
    <row r="266" spans="1:13" ht="15.75">
      <c r="A266" s="290" t="s">
        <v>431</v>
      </c>
      <c r="B266" s="291">
        <v>9</v>
      </c>
      <c r="C266" s="290">
        <v>600</v>
      </c>
      <c r="D266" s="290" t="s">
        <v>378</v>
      </c>
      <c r="E266" s="291">
        <f t="shared" ref="E266:E273" si="85">B266*C266</f>
        <v>5400</v>
      </c>
      <c r="F266" s="290">
        <v>200</v>
      </c>
      <c r="G266" s="291">
        <f t="shared" si="81"/>
        <v>1800</v>
      </c>
      <c r="H266" s="290">
        <v>100</v>
      </c>
      <c r="I266" s="291">
        <f t="shared" si="82"/>
        <v>900</v>
      </c>
      <c r="J266" s="290">
        <v>100</v>
      </c>
      <c r="K266" s="291">
        <f t="shared" si="83"/>
        <v>900</v>
      </c>
      <c r="L266" s="290">
        <v>200</v>
      </c>
      <c r="M266" s="291">
        <f t="shared" si="84"/>
        <v>1800</v>
      </c>
    </row>
    <row r="267" spans="1:13" ht="15.75">
      <c r="A267" s="290" t="s">
        <v>432</v>
      </c>
      <c r="B267" s="291">
        <v>9</v>
      </c>
      <c r="C267" s="290">
        <v>100</v>
      </c>
      <c r="D267" s="290" t="s">
        <v>378</v>
      </c>
      <c r="E267" s="291">
        <f t="shared" si="85"/>
        <v>900</v>
      </c>
      <c r="F267" s="290">
        <v>50</v>
      </c>
      <c r="G267" s="291">
        <f t="shared" si="81"/>
        <v>450</v>
      </c>
      <c r="H267" s="290"/>
      <c r="I267" s="291">
        <f t="shared" si="82"/>
        <v>0</v>
      </c>
      <c r="J267" s="290">
        <v>50</v>
      </c>
      <c r="K267" s="291">
        <f t="shared" si="83"/>
        <v>450</v>
      </c>
      <c r="L267" s="290"/>
      <c r="M267" s="291">
        <f t="shared" si="84"/>
        <v>0</v>
      </c>
    </row>
    <row r="268" spans="1:13" ht="15.75">
      <c r="A268" s="299" t="s">
        <v>433</v>
      </c>
      <c r="B268" s="300">
        <v>53</v>
      </c>
      <c r="C268" s="299">
        <v>400</v>
      </c>
      <c r="D268" s="299" t="s">
        <v>378</v>
      </c>
      <c r="E268" s="291">
        <f t="shared" si="85"/>
        <v>21200</v>
      </c>
      <c r="F268" s="299">
        <v>100</v>
      </c>
      <c r="G268" s="291">
        <f t="shared" si="81"/>
        <v>5300</v>
      </c>
      <c r="H268" s="299">
        <v>100</v>
      </c>
      <c r="I268" s="291">
        <f t="shared" si="82"/>
        <v>5300</v>
      </c>
      <c r="J268" s="299">
        <v>100</v>
      </c>
      <c r="K268" s="291">
        <f t="shared" si="83"/>
        <v>5300</v>
      </c>
      <c r="L268" s="299">
        <v>100</v>
      </c>
      <c r="M268" s="291">
        <f t="shared" si="84"/>
        <v>5300</v>
      </c>
    </row>
    <row r="269" spans="1:13" ht="15.75">
      <c r="A269" s="290" t="s">
        <v>434</v>
      </c>
      <c r="B269" s="291">
        <v>10</v>
      </c>
      <c r="C269" s="290">
        <v>200</v>
      </c>
      <c r="D269" s="290" t="s">
        <v>378</v>
      </c>
      <c r="E269" s="291">
        <f t="shared" si="85"/>
        <v>2000</v>
      </c>
      <c r="F269" s="290">
        <v>50</v>
      </c>
      <c r="G269" s="291">
        <f t="shared" si="81"/>
        <v>500</v>
      </c>
      <c r="H269" s="290">
        <v>50</v>
      </c>
      <c r="I269" s="291">
        <f t="shared" si="82"/>
        <v>500</v>
      </c>
      <c r="J269" s="290">
        <v>50</v>
      </c>
      <c r="K269" s="291">
        <f t="shared" si="83"/>
        <v>500</v>
      </c>
      <c r="L269" s="290">
        <v>50</v>
      </c>
      <c r="M269" s="291">
        <f t="shared" si="84"/>
        <v>500</v>
      </c>
    </row>
    <row r="270" spans="1:13" ht="15.75">
      <c r="A270" s="290" t="s">
        <v>435</v>
      </c>
      <c r="B270" s="291">
        <v>11</v>
      </c>
      <c r="C270" s="290">
        <v>100</v>
      </c>
      <c r="D270" s="290" t="s">
        <v>378</v>
      </c>
      <c r="E270" s="291">
        <f t="shared" si="85"/>
        <v>1100</v>
      </c>
      <c r="F270" s="290">
        <v>50</v>
      </c>
      <c r="G270" s="291">
        <f t="shared" si="81"/>
        <v>550</v>
      </c>
      <c r="H270" s="290"/>
      <c r="I270" s="291">
        <f t="shared" si="82"/>
        <v>0</v>
      </c>
      <c r="J270" s="290">
        <v>50</v>
      </c>
      <c r="K270" s="291">
        <f t="shared" si="83"/>
        <v>550</v>
      </c>
      <c r="L270" s="290"/>
      <c r="M270" s="291">
        <f t="shared" si="84"/>
        <v>0</v>
      </c>
    </row>
    <row r="271" spans="1:13" ht="15.75">
      <c r="A271" s="290" t="s">
        <v>436</v>
      </c>
      <c r="B271" s="291">
        <v>15</v>
      </c>
      <c r="C271" s="290">
        <v>2400</v>
      </c>
      <c r="D271" s="290" t="s">
        <v>378</v>
      </c>
      <c r="E271" s="291">
        <f t="shared" si="85"/>
        <v>36000</v>
      </c>
      <c r="F271" s="290">
        <v>600</v>
      </c>
      <c r="G271" s="291">
        <f t="shared" si="81"/>
        <v>9000</v>
      </c>
      <c r="H271" s="290">
        <v>600</v>
      </c>
      <c r="I271" s="291">
        <f t="shared" si="82"/>
        <v>9000</v>
      </c>
      <c r="J271" s="290">
        <v>600</v>
      </c>
      <c r="K271" s="291">
        <f t="shared" si="83"/>
        <v>9000</v>
      </c>
      <c r="L271" s="290">
        <v>600</v>
      </c>
      <c r="M271" s="291">
        <f t="shared" si="84"/>
        <v>9000</v>
      </c>
    </row>
    <row r="272" spans="1:13" ht="15.75">
      <c r="A272" s="290" t="s">
        <v>437</v>
      </c>
      <c r="B272" s="291">
        <v>1300</v>
      </c>
      <c r="C272" s="290">
        <v>10</v>
      </c>
      <c r="D272" s="290" t="s">
        <v>378</v>
      </c>
      <c r="E272" s="291">
        <f t="shared" si="85"/>
        <v>13000</v>
      </c>
      <c r="F272" s="290">
        <v>5</v>
      </c>
      <c r="G272" s="291">
        <f t="shared" si="81"/>
        <v>6500</v>
      </c>
      <c r="H272" s="290"/>
      <c r="I272" s="291">
        <f t="shared" si="82"/>
        <v>0</v>
      </c>
      <c r="J272" s="290">
        <v>5</v>
      </c>
      <c r="K272" s="291">
        <f t="shared" si="83"/>
        <v>6500</v>
      </c>
      <c r="L272" s="290"/>
      <c r="M272" s="291">
        <f t="shared" si="84"/>
        <v>0</v>
      </c>
    </row>
    <row r="273" spans="1:13" ht="15.75">
      <c r="A273" s="290" t="s">
        <v>381</v>
      </c>
      <c r="B273" s="291">
        <v>620</v>
      </c>
      <c r="C273" s="290">
        <v>800</v>
      </c>
      <c r="D273" s="290" t="s">
        <v>378</v>
      </c>
      <c r="E273" s="291">
        <f t="shared" si="85"/>
        <v>496000</v>
      </c>
      <c r="F273" s="290">
        <v>200</v>
      </c>
      <c r="G273" s="291">
        <f t="shared" si="81"/>
        <v>124000</v>
      </c>
      <c r="H273" s="290">
        <v>200</v>
      </c>
      <c r="I273" s="291">
        <f t="shared" si="82"/>
        <v>124000</v>
      </c>
      <c r="J273" s="290">
        <v>200</v>
      </c>
      <c r="K273" s="291">
        <f t="shared" si="83"/>
        <v>124000</v>
      </c>
      <c r="L273" s="290">
        <v>200</v>
      </c>
      <c r="M273" s="291">
        <f t="shared" si="84"/>
        <v>124000</v>
      </c>
    </row>
    <row r="274" spans="1:13" ht="15.75">
      <c r="A274" s="303"/>
      <c r="B274" s="303"/>
      <c r="C274" s="366" t="s">
        <v>377</v>
      </c>
      <c r="D274" s="366"/>
      <c r="E274" s="292">
        <f>SUM(E234:E273)</f>
        <v>1349350</v>
      </c>
      <c r="F274" s="303"/>
      <c r="G274" s="292">
        <f>SUM(G234:G273)</f>
        <v>377765</v>
      </c>
      <c r="H274" s="315"/>
      <c r="I274" s="292">
        <f>SUM(I234:I273)</f>
        <v>323060</v>
      </c>
      <c r="J274" s="315"/>
      <c r="K274" s="292">
        <f>SUM(K234:K273)</f>
        <v>360365</v>
      </c>
      <c r="L274" s="315"/>
      <c r="M274" s="292">
        <f>SUM(M234:M273)</f>
        <v>288160</v>
      </c>
    </row>
    <row r="275" spans="1:13" ht="15.75">
      <c r="A275" s="303"/>
      <c r="B275" s="303"/>
      <c r="C275" s="338"/>
      <c r="D275" s="338"/>
      <c r="E275" s="292"/>
      <c r="F275" s="303"/>
      <c r="G275" s="292"/>
      <c r="H275" s="315"/>
      <c r="I275" s="292"/>
      <c r="J275" s="315"/>
      <c r="K275" s="292"/>
      <c r="L275" s="315"/>
      <c r="M275" s="292"/>
    </row>
    <row r="276" spans="1:13" ht="15.75">
      <c r="A276" s="287" t="s">
        <v>438</v>
      </c>
      <c r="B276" s="288"/>
      <c r="C276" s="288"/>
      <c r="D276" s="288"/>
      <c r="E276" s="293"/>
      <c r="F276" s="288"/>
      <c r="G276" s="288"/>
      <c r="H276" s="288"/>
      <c r="I276" s="288"/>
      <c r="J276" s="288"/>
      <c r="K276" s="288"/>
      <c r="L276" s="288"/>
      <c r="M276" s="293"/>
    </row>
    <row r="277" spans="1:13" ht="15.75">
      <c r="A277" s="369" t="s">
        <v>360</v>
      </c>
      <c r="B277" s="369" t="s">
        <v>361</v>
      </c>
      <c r="C277" s="369" t="s">
        <v>362</v>
      </c>
      <c r="D277" s="369" t="s">
        <v>363</v>
      </c>
      <c r="E277" s="369" t="s">
        <v>364</v>
      </c>
      <c r="F277" s="365" t="s">
        <v>365</v>
      </c>
      <c r="G277" s="365"/>
      <c r="H277" s="365" t="s">
        <v>366</v>
      </c>
      <c r="I277" s="365"/>
      <c r="J277" s="365" t="s">
        <v>367</v>
      </c>
      <c r="K277" s="365"/>
      <c r="L277" s="365" t="s">
        <v>368</v>
      </c>
      <c r="M277" s="365"/>
    </row>
    <row r="278" spans="1:13" ht="15.75">
      <c r="A278" s="370"/>
      <c r="B278" s="370"/>
      <c r="C278" s="370"/>
      <c r="D278" s="370"/>
      <c r="E278" s="370"/>
      <c r="F278" s="289" t="s">
        <v>369</v>
      </c>
      <c r="G278" s="289" t="s">
        <v>370</v>
      </c>
      <c r="H278" s="289" t="s">
        <v>369</v>
      </c>
      <c r="I278" s="289" t="s">
        <v>370</v>
      </c>
      <c r="J278" s="289" t="s">
        <v>369</v>
      </c>
      <c r="K278" s="289" t="s">
        <v>370</v>
      </c>
      <c r="L278" s="289" t="s">
        <v>369</v>
      </c>
      <c r="M278" s="289" t="s">
        <v>370</v>
      </c>
    </row>
    <row r="279" spans="1:13" ht="15.75">
      <c r="A279" s="290" t="s">
        <v>439</v>
      </c>
      <c r="B279" s="291">
        <v>230</v>
      </c>
      <c r="C279" s="290">
        <v>50</v>
      </c>
      <c r="D279" s="290" t="s">
        <v>378</v>
      </c>
      <c r="E279" s="291">
        <f>B279*C279</f>
        <v>11500</v>
      </c>
      <c r="F279" s="290"/>
      <c r="G279" s="291">
        <f>B279*F279</f>
        <v>0</v>
      </c>
      <c r="H279" s="290">
        <v>25</v>
      </c>
      <c r="I279" s="291">
        <f>B279*H279</f>
        <v>5750</v>
      </c>
      <c r="J279" s="290"/>
      <c r="K279" s="291">
        <f>B279*J279</f>
        <v>0</v>
      </c>
      <c r="L279" s="290">
        <v>25</v>
      </c>
      <c r="M279" s="291">
        <f>B279*L279</f>
        <v>5750</v>
      </c>
    </row>
    <row r="280" spans="1:13" ht="15.75">
      <c r="A280" s="290" t="s">
        <v>440</v>
      </c>
      <c r="B280" s="291">
        <v>980</v>
      </c>
      <c r="C280" s="290">
        <v>20</v>
      </c>
      <c r="D280" s="290" t="s">
        <v>378</v>
      </c>
      <c r="E280" s="291">
        <f t="shared" ref="E280:E297" si="86">B280*C280</f>
        <v>19600</v>
      </c>
      <c r="F280" s="290"/>
      <c r="G280" s="291">
        <f t="shared" ref="G280:G335" si="87">B280*F280</f>
        <v>0</v>
      </c>
      <c r="H280" s="290">
        <v>10</v>
      </c>
      <c r="I280" s="291">
        <f t="shared" ref="I280:I335" si="88">B280*H280</f>
        <v>9800</v>
      </c>
      <c r="J280" s="290"/>
      <c r="K280" s="291">
        <f t="shared" ref="K280:K335" si="89">B280*J280</f>
        <v>0</v>
      </c>
      <c r="L280" s="290">
        <v>10</v>
      </c>
      <c r="M280" s="291">
        <f t="shared" ref="M280:M335" si="90">B280*L280</f>
        <v>9800</v>
      </c>
    </row>
    <row r="281" spans="1:13" ht="15.75">
      <c r="A281" s="290" t="s">
        <v>441</v>
      </c>
      <c r="B281" s="291">
        <v>173</v>
      </c>
      <c r="C281" s="290">
        <v>10</v>
      </c>
      <c r="D281" s="290" t="s">
        <v>378</v>
      </c>
      <c r="E281" s="291">
        <f t="shared" si="86"/>
        <v>1730</v>
      </c>
      <c r="F281" s="290">
        <v>10</v>
      </c>
      <c r="G281" s="291">
        <f t="shared" si="87"/>
        <v>1730</v>
      </c>
      <c r="H281" s="290"/>
      <c r="I281" s="291">
        <f t="shared" si="88"/>
        <v>0</v>
      </c>
      <c r="J281" s="290"/>
      <c r="K281" s="291">
        <f t="shared" si="89"/>
        <v>0</v>
      </c>
      <c r="L281" s="290"/>
      <c r="M281" s="291">
        <f t="shared" si="90"/>
        <v>0</v>
      </c>
    </row>
    <row r="282" spans="1:13" ht="15.75">
      <c r="A282" s="290" t="s">
        <v>442</v>
      </c>
      <c r="B282" s="291">
        <v>324</v>
      </c>
      <c r="C282" s="290">
        <v>5</v>
      </c>
      <c r="D282" s="290" t="s">
        <v>378</v>
      </c>
      <c r="E282" s="291">
        <f t="shared" si="86"/>
        <v>1620</v>
      </c>
      <c r="F282" s="290">
        <v>5</v>
      </c>
      <c r="G282" s="291">
        <f t="shared" si="87"/>
        <v>1620</v>
      </c>
      <c r="H282" s="290"/>
      <c r="I282" s="291">
        <f t="shared" si="88"/>
        <v>0</v>
      </c>
      <c r="J282" s="290"/>
      <c r="K282" s="291">
        <f t="shared" si="89"/>
        <v>0</v>
      </c>
      <c r="L282" s="290"/>
      <c r="M282" s="291">
        <f t="shared" si="90"/>
        <v>0</v>
      </c>
    </row>
    <row r="283" spans="1:13" ht="15.75">
      <c r="A283" s="290" t="s">
        <v>660</v>
      </c>
      <c r="B283" s="309">
        <v>40000</v>
      </c>
      <c r="C283" s="290">
        <v>1</v>
      </c>
      <c r="D283" s="290" t="s">
        <v>376</v>
      </c>
      <c r="E283" s="291">
        <f t="shared" si="86"/>
        <v>40000</v>
      </c>
      <c r="F283" s="290"/>
      <c r="G283" s="291">
        <f t="shared" si="87"/>
        <v>0</v>
      </c>
      <c r="H283" s="290"/>
      <c r="I283" s="291">
        <f t="shared" si="88"/>
        <v>0</v>
      </c>
      <c r="J283" s="290">
        <v>1</v>
      </c>
      <c r="K283" s="291">
        <f t="shared" si="89"/>
        <v>40000</v>
      </c>
      <c r="L283" s="290"/>
      <c r="M283" s="291">
        <f t="shared" si="90"/>
        <v>0</v>
      </c>
    </row>
    <row r="284" spans="1:13" ht="15.75">
      <c r="A284" s="290" t="s">
        <v>443</v>
      </c>
      <c r="B284" s="291">
        <v>1700</v>
      </c>
      <c r="C284" s="290">
        <v>4</v>
      </c>
      <c r="D284" s="290" t="s">
        <v>378</v>
      </c>
      <c r="E284" s="291">
        <f t="shared" si="86"/>
        <v>6800</v>
      </c>
      <c r="F284" s="290">
        <v>2</v>
      </c>
      <c r="G284" s="291">
        <f t="shared" si="87"/>
        <v>3400</v>
      </c>
      <c r="H284" s="290"/>
      <c r="I284" s="291">
        <f t="shared" si="88"/>
        <v>0</v>
      </c>
      <c r="J284" s="290">
        <v>2</v>
      </c>
      <c r="K284" s="291">
        <f t="shared" si="89"/>
        <v>3400</v>
      </c>
      <c r="L284" s="290"/>
      <c r="M284" s="291">
        <f t="shared" si="90"/>
        <v>0</v>
      </c>
    </row>
    <row r="285" spans="1:13" ht="15.75">
      <c r="A285" s="290" t="s">
        <v>444</v>
      </c>
      <c r="B285" s="291">
        <v>1844</v>
      </c>
      <c r="C285" s="290">
        <v>4</v>
      </c>
      <c r="D285" s="290" t="s">
        <v>378</v>
      </c>
      <c r="E285" s="291">
        <f t="shared" si="86"/>
        <v>7376</v>
      </c>
      <c r="F285" s="290">
        <v>2</v>
      </c>
      <c r="G285" s="291">
        <f t="shared" si="87"/>
        <v>3688</v>
      </c>
      <c r="H285" s="290"/>
      <c r="I285" s="291">
        <f t="shared" si="88"/>
        <v>0</v>
      </c>
      <c r="J285" s="290">
        <v>2</v>
      </c>
      <c r="K285" s="291">
        <f t="shared" si="89"/>
        <v>3688</v>
      </c>
      <c r="L285" s="290"/>
      <c r="M285" s="291">
        <f t="shared" si="90"/>
        <v>0</v>
      </c>
    </row>
    <row r="286" spans="1:13" ht="15.75">
      <c r="A286" s="290" t="s">
        <v>445</v>
      </c>
      <c r="B286" s="291">
        <v>2850</v>
      </c>
      <c r="C286" s="290">
        <v>2</v>
      </c>
      <c r="D286" s="290" t="s">
        <v>378</v>
      </c>
      <c r="E286" s="291">
        <f t="shared" si="86"/>
        <v>5700</v>
      </c>
      <c r="F286" s="290">
        <v>1</v>
      </c>
      <c r="G286" s="291">
        <f t="shared" si="87"/>
        <v>2850</v>
      </c>
      <c r="H286" s="290"/>
      <c r="I286" s="291">
        <f t="shared" si="88"/>
        <v>0</v>
      </c>
      <c r="J286" s="290">
        <v>1</v>
      </c>
      <c r="K286" s="291">
        <f t="shared" si="89"/>
        <v>2850</v>
      </c>
      <c r="L286" s="290"/>
      <c r="M286" s="291">
        <f t="shared" si="90"/>
        <v>0</v>
      </c>
    </row>
    <row r="287" spans="1:13" ht="15.75">
      <c r="A287" s="290" t="s">
        <v>446</v>
      </c>
      <c r="B287" s="291">
        <v>2575</v>
      </c>
      <c r="C287" s="290">
        <v>2</v>
      </c>
      <c r="D287" s="290" t="s">
        <v>378</v>
      </c>
      <c r="E287" s="291">
        <f t="shared" si="86"/>
        <v>5150</v>
      </c>
      <c r="F287" s="290">
        <v>1</v>
      </c>
      <c r="G287" s="291">
        <f t="shared" si="87"/>
        <v>2575</v>
      </c>
      <c r="H287" s="290"/>
      <c r="I287" s="291">
        <f t="shared" si="88"/>
        <v>0</v>
      </c>
      <c r="J287" s="290">
        <v>1</v>
      </c>
      <c r="K287" s="291">
        <f t="shared" si="89"/>
        <v>2575</v>
      </c>
      <c r="L287" s="290"/>
      <c r="M287" s="291">
        <f t="shared" si="90"/>
        <v>0</v>
      </c>
    </row>
    <row r="288" spans="1:13" ht="15.75">
      <c r="A288" s="290" t="s">
        <v>386</v>
      </c>
      <c r="B288" s="291">
        <v>650</v>
      </c>
      <c r="C288" s="290">
        <v>6</v>
      </c>
      <c r="D288" s="290" t="s">
        <v>378</v>
      </c>
      <c r="E288" s="291">
        <f t="shared" si="86"/>
        <v>3900</v>
      </c>
      <c r="F288" s="290">
        <v>3</v>
      </c>
      <c r="G288" s="291">
        <f t="shared" si="87"/>
        <v>1950</v>
      </c>
      <c r="H288" s="290"/>
      <c r="I288" s="291">
        <f t="shared" si="88"/>
        <v>0</v>
      </c>
      <c r="J288" s="290">
        <v>3</v>
      </c>
      <c r="K288" s="291">
        <f t="shared" si="89"/>
        <v>1950</v>
      </c>
      <c r="L288" s="290"/>
      <c r="M288" s="291">
        <f t="shared" si="90"/>
        <v>0</v>
      </c>
    </row>
    <row r="289" spans="1:13" ht="15.75">
      <c r="A289" s="290" t="s">
        <v>387</v>
      </c>
      <c r="B289" s="291">
        <v>953</v>
      </c>
      <c r="C289" s="290">
        <v>4</v>
      </c>
      <c r="D289" s="290" t="s">
        <v>378</v>
      </c>
      <c r="E289" s="291">
        <f t="shared" si="86"/>
        <v>3812</v>
      </c>
      <c r="F289" s="290"/>
      <c r="G289" s="291">
        <f t="shared" si="87"/>
        <v>0</v>
      </c>
      <c r="H289" s="290">
        <v>2</v>
      </c>
      <c r="I289" s="291">
        <f t="shared" si="88"/>
        <v>1906</v>
      </c>
      <c r="J289" s="290"/>
      <c r="K289" s="291">
        <f t="shared" si="89"/>
        <v>0</v>
      </c>
      <c r="L289" s="290">
        <v>2</v>
      </c>
      <c r="M289" s="291">
        <f t="shared" si="90"/>
        <v>1906</v>
      </c>
    </row>
    <row r="290" spans="1:13" ht="15.75">
      <c r="A290" s="290" t="s">
        <v>388</v>
      </c>
      <c r="B290" s="291">
        <v>1053</v>
      </c>
      <c r="C290" s="290">
        <v>2</v>
      </c>
      <c r="D290" s="290" t="s">
        <v>378</v>
      </c>
      <c r="E290" s="291">
        <f t="shared" si="86"/>
        <v>2106</v>
      </c>
      <c r="F290" s="290"/>
      <c r="G290" s="291">
        <f t="shared" si="87"/>
        <v>0</v>
      </c>
      <c r="H290" s="290">
        <v>2</v>
      </c>
      <c r="I290" s="291">
        <f t="shared" si="88"/>
        <v>2106</v>
      </c>
      <c r="J290" s="290"/>
      <c r="K290" s="291">
        <f t="shared" si="89"/>
        <v>0</v>
      </c>
      <c r="L290" s="290"/>
      <c r="M290" s="291">
        <f t="shared" si="90"/>
        <v>0</v>
      </c>
    </row>
    <row r="291" spans="1:13" ht="15.75">
      <c r="A291" s="290" t="s">
        <v>389</v>
      </c>
      <c r="B291" s="291">
        <v>4464</v>
      </c>
      <c r="C291" s="290">
        <v>10</v>
      </c>
      <c r="D291" s="290" t="s">
        <v>378</v>
      </c>
      <c r="E291" s="291">
        <f t="shared" si="86"/>
        <v>44640</v>
      </c>
      <c r="F291" s="290"/>
      <c r="G291" s="291">
        <f t="shared" si="87"/>
        <v>0</v>
      </c>
      <c r="H291" s="290">
        <v>4</v>
      </c>
      <c r="I291" s="291">
        <f t="shared" si="88"/>
        <v>17856</v>
      </c>
      <c r="J291" s="290"/>
      <c r="K291" s="291">
        <f t="shared" si="89"/>
        <v>0</v>
      </c>
      <c r="L291" s="290">
        <v>6</v>
      </c>
      <c r="M291" s="291">
        <f t="shared" si="90"/>
        <v>26784</v>
      </c>
    </row>
    <row r="292" spans="1:13" ht="15.75">
      <c r="A292" s="299" t="s">
        <v>390</v>
      </c>
      <c r="B292" s="300">
        <v>7392</v>
      </c>
      <c r="C292" s="299">
        <v>4</v>
      </c>
      <c r="D292" s="299" t="s">
        <v>378</v>
      </c>
      <c r="E292" s="291">
        <f t="shared" si="86"/>
        <v>29568</v>
      </c>
      <c r="F292" s="299">
        <v>1</v>
      </c>
      <c r="G292" s="291">
        <f t="shared" si="87"/>
        <v>7392</v>
      </c>
      <c r="H292" s="299">
        <v>1</v>
      </c>
      <c r="I292" s="291">
        <f t="shared" si="88"/>
        <v>7392</v>
      </c>
      <c r="J292" s="299">
        <v>1</v>
      </c>
      <c r="K292" s="291">
        <f t="shared" si="89"/>
        <v>7392</v>
      </c>
      <c r="L292" s="299">
        <v>1</v>
      </c>
      <c r="M292" s="291">
        <f t="shared" si="90"/>
        <v>7392</v>
      </c>
    </row>
    <row r="293" spans="1:13" ht="15.75">
      <c r="A293" s="290" t="s">
        <v>391</v>
      </c>
      <c r="B293" s="291">
        <v>10696</v>
      </c>
      <c r="C293" s="290">
        <v>3</v>
      </c>
      <c r="D293" s="290" t="s">
        <v>378</v>
      </c>
      <c r="E293" s="291">
        <f t="shared" si="86"/>
        <v>32088</v>
      </c>
      <c r="F293" s="290"/>
      <c r="G293" s="291">
        <f t="shared" si="87"/>
        <v>0</v>
      </c>
      <c r="H293" s="290">
        <v>1</v>
      </c>
      <c r="I293" s="291">
        <f t="shared" si="88"/>
        <v>10696</v>
      </c>
      <c r="J293" s="290">
        <v>1</v>
      </c>
      <c r="K293" s="291">
        <f t="shared" si="89"/>
        <v>10696</v>
      </c>
      <c r="L293" s="290">
        <v>1</v>
      </c>
      <c r="M293" s="291">
        <f t="shared" si="90"/>
        <v>10696</v>
      </c>
    </row>
    <row r="294" spans="1:13" ht="15.75">
      <c r="A294" s="290" t="s">
        <v>392</v>
      </c>
      <c r="B294" s="291">
        <v>15650</v>
      </c>
      <c r="C294" s="290">
        <v>2</v>
      </c>
      <c r="D294" s="290" t="s">
        <v>378</v>
      </c>
      <c r="E294" s="291">
        <f t="shared" si="86"/>
        <v>31300</v>
      </c>
      <c r="F294" s="290"/>
      <c r="G294" s="291">
        <f t="shared" si="87"/>
        <v>0</v>
      </c>
      <c r="H294" s="290">
        <v>1</v>
      </c>
      <c r="I294" s="291">
        <f t="shared" si="88"/>
        <v>15650</v>
      </c>
      <c r="J294" s="290"/>
      <c r="K294" s="291">
        <f t="shared" si="89"/>
        <v>0</v>
      </c>
      <c r="L294" s="290">
        <v>1</v>
      </c>
      <c r="M294" s="291">
        <f t="shared" si="90"/>
        <v>15650</v>
      </c>
    </row>
    <row r="295" spans="1:13" ht="15.75">
      <c r="A295" s="299" t="s">
        <v>393</v>
      </c>
      <c r="B295" s="300">
        <v>1250</v>
      </c>
      <c r="C295" s="299">
        <v>20</v>
      </c>
      <c r="D295" s="299" t="s">
        <v>378</v>
      </c>
      <c r="E295" s="291">
        <f t="shared" si="86"/>
        <v>25000</v>
      </c>
      <c r="F295" s="299"/>
      <c r="G295" s="291">
        <f t="shared" si="87"/>
        <v>0</v>
      </c>
      <c r="H295" s="299">
        <v>10</v>
      </c>
      <c r="I295" s="291">
        <f t="shared" si="88"/>
        <v>12500</v>
      </c>
      <c r="J295" s="299"/>
      <c r="K295" s="291">
        <f t="shared" si="89"/>
        <v>0</v>
      </c>
      <c r="L295" s="299">
        <v>10</v>
      </c>
      <c r="M295" s="291">
        <f t="shared" si="90"/>
        <v>12500</v>
      </c>
    </row>
    <row r="296" spans="1:13" ht="15.75">
      <c r="A296" s="290" t="s">
        <v>394</v>
      </c>
      <c r="B296" s="291">
        <v>1831</v>
      </c>
      <c r="C296" s="290">
        <v>5</v>
      </c>
      <c r="D296" s="290" t="s">
        <v>378</v>
      </c>
      <c r="E296" s="291">
        <f t="shared" si="86"/>
        <v>9155</v>
      </c>
      <c r="F296" s="290"/>
      <c r="G296" s="291">
        <f t="shared" si="87"/>
        <v>0</v>
      </c>
      <c r="H296" s="290">
        <v>2</v>
      </c>
      <c r="I296" s="291">
        <f t="shared" si="88"/>
        <v>3662</v>
      </c>
      <c r="J296" s="290"/>
      <c r="K296" s="291">
        <f t="shared" si="89"/>
        <v>0</v>
      </c>
      <c r="L296" s="290">
        <v>3</v>
      </c>
      <c r="M296" s="291">
        <f t="shared" si="90"/>
        <v>5493</v>
      </c>
    </row>
    <row r="297" spans="1:13" ht="15.75">
      <c r="A297" s="290" t="s">
        <v>395</v>
      </c>
      <c r="B297" s="291">
        <v>2878</v>
      </c>
      <c r="C297" s="290">
        <v>2</v>
      </c>
      <c r="D297" s="290" t="s">
        <v>378</v>
      </c>
      <c r="E297" s="291">
        <f t="shared" si="86"/>
        <v>5756</v>
      </c>
      <c r="F297" s="290"/>
      <c r="G297" s="291">
        <f t="shared" si="87"/>
        <v>0</v>
      </c>
      <c r="H297" s="290">
        <v>1</v>
      </c>
      <c r="I297" s="291">
        <f t="shared" si="88"/>
        <v>2878</v>
      </c>
      <c r="J297" s="290"/>
      <c r="K297" s="291">
        <f t="shared" si="89"/>
        <v>0</v>
      </c>
      <c r="L297" s="290">
        <v>1</v>
      </c>
      <c r="M297" s="291">
        <f t="shared" si="90"/>
        <v>2878</v>
      </c>
    </row>
    <row r="298" spans="1:13" ht="15.75">
      <c r="A298" s="290" t="s">
        <v>396</v>
      </c>
      <c r="B298" s="291">
        <v>4046</v>
      </c>
      <c r="C298" s="290">
        <v>2</v>
      </c>
      <c r="D298" s="290" t="s">
        <v>378</v>
      </c>
      <c r="E298" s="291">
        <f t="shared" ref="E298:E321" si="91">B298*C298</f>
        <v>8092</v>
      </c>
      <c r="F298" s="290"/>
      <c r="G298" s="291">
        <f t="shared" si="87"/>
        <v>0</v>
      </c>
      <c r="H298" s="290">
        <v>1</v>
      </c>
      <c r="I298" s="291">
        <f t="shared" si="88"/>
        <v>4046</v>
      </c>
      <c r="J298" s="290"/>
      <c r="K298" s="291">
        <f t="shared" si="89"/>
        <v>0</v>
      </c>
      <c r="L298" s="290">
        <v>1</v>
      </c>
      <c r="M298" s="291">
        <f t="shared" si="90"/>
        <v>4046</v>
      </c>
    </row>
    <row r="299" spans="1:13" ht="15.75">
      <c r="A299" s="290" t="s">
        <v>447</v>
      </c>
      <c r="B299" s="291">
        <v>2170</v>
      </c>
      <c r="C299" s="290">
        <v>20</v>
      </c>
      <c r="D299" s="290" t="s">
        <v>378</v>
      </c>
      <c r="E299" s="291">
        <f t="shared" si="91"/>
        <v>43400</v>
      </c>
      <c r="F299" s="290">
        <v>5</v>
      </c>
      <c r="G299" s="291">
        <f t="shared" si="87"/>
        <v>10850</v>
      </c>
      <c r="H299" s="290">
        <v>5</v>
      </c>
      <c r="I299" s="291">
        <f t="shared" si="88"/>
        <v>10850</v>
      </c>
      <c r="J299" s="290">
        <v>5</v>
      </c>
      <c r="K299" s="291">
        <f t="shared" si="89"/>
        <v>10850</v>
      </c>
      <c r="L299" s="290">
        <v>5</v>
      </c>
      <c r="M299" s="291">
        <f t="shared" si="90"/>
        <v>10850</v>
      </c>
    </row>
    <row r="300" spans="1:13" ht="15.75">
      <c r="A300" s="290" t="s">
        <v>448</v>
      </c>
      <c r="B300" s="291">
        <v>4045</v>
      </c>
      <c r="C300" s="290">
        <v>2</v>
      </c>
      <c r="D300" s="290" t="s">
        <v>378</v>
      </c>
      <c r="E300" s="291">
        <f t="shared" si="91"/>
        <v>8090</v>
      </c>
      <c r="F300" s="290"/>
      <c r="G300" s="291">
        <f t="shared" si="87"/>
        <v>0</v>
      </c>
      <c r="H300" s="290">
        <v>2</v>
      </c>
      <c r="I300" s="291">
        <f t="shared" si="88"/>
        <v>8090</v>
      </c>
      <c r="J300" s="290"/>
      <c r="K300" s="291">
        <f t="shared" si="89"/>
        <v>0</v>
      </c>
      <c r="L300" s="290"/>
      <c r="M300" s="291">
        <f t="shared" si="90"/>
        <v>0</v>
      </c>
    </row>
    <row r="301" spans="1:13" ht="15.75">
      <c r="A301" s="290" t="s">
        <v>449</v>
      </c>
      <c r="B301" s="291">
        <v>5490</v>
      </c>
      <c r="C301" s="290">
        <v>1</v>
      </c>
      <c r="D301" s="290" t="s">
        <v>378</v>
      </c>
      <c r="E301" s="291">
        <f t="shared" si="91"/>
        <v>5490</v>
      </c>
      <c r="F301" s="290"/>
      <c r="G301" s="291">
        <f t="shared" si="87"/>
        <v>0</v>
      </c>
      <c r="H301" s="290">
        <v>1</v>
      </c>
      <c r="I301" s="291">
        <f t="shared" si="88"/>
        <v>5490</v>
      </c>
      <c r="J301" s="290"/>
      <c r="K301" s="291">
        <f t="shared" si="89"/>
        <v>0</v>
      </c>
      <c r="L301" s="290"/>
      <c r="M301" s="291">
        <f t="shared" si="90"/>
        <v>0</v>
      </c>
    </row>
    <row r="302" spans="1:13" ht="15.75">
      <c r="A302" s="290" t="s">
        <v>450</v>
      </c>
      <c r="B302" s="291">
        <v>3932</v>
      </c>
      <c r="C302" s="290">
        <v>2</v>
      </c>
      <c r="D302" s="290" t="s">
        <v>378</v>
      </c>
      <c r="E302" s="291">
        <f t="shared" si="91"/>
        <v>7864</v>
      </c>
      <c r="F302" s="290"/>
      <c r="G302" s="291">
        <f t="shared" si="87"/>
        <v>0</v>
      </c>
      <c r="H302" s="290">
        <v>1</v>
      </c>
      <c r="I302" s="291">
        <f t="shared" si="88"/>
        <v>3932</v>
      </c>
      <c r="J302" s="290"/>
      <c r="K302" s="291">
        <f t="shared" si="89"/>
        <v>0</v>
      </c>
      <c r="L302" s="290">
        <v>1</v>
      </c>
      <c r="M302" s="291">
        <f t="shared" si="90"/>
        <v>3932</v>
      </c>
    </row>
    <row r="303" spans="1:13" ht="15.75">
      <c r="A303" s="290" t="s">
        <v>451</v>
      </c>
      <c r="B303" s="291">
        <v>4741</v>
      </c>
      <c r="C303" s="290">
        <v>1</v>
      </c>
      <c r="D303" s="290" t="s">
        <v>378</v>
      </c>
      <c r="E303" s="291">
        <f t="shared" si="91"/>
        <v>4741</v>
      </c>
      <c r="F303" s="290"/>
      <c r="G303" s="291">
        <f t="shared" si="87"/>
        <v>0</v>
      </c>
      <c r="H303" s="290">
        <v>1</v>
      </c>
      <c r="I303" s="291">
        <f t="shared" si="88"/>
        <v>4741</v>
      </c>
      <c r="J303" s="290"/>
      <c r="K303" s="291">
        <f t="shared" si="89"/>
        <v>0</v>
      </c>
      <c r="L303" s="290"/>
      <c r="M303" s="291">
        <f t="shared" si="90"/>
        <v>0</v>
      </c>
    </row>
    <row r="304" spans="1:13" ht="15.75">
      <c r="A304" s="290" t="s">
        <v>452</v>
      </c>
      <c r="B304" s="291">
        <v>1120</v>
      </c>
      <c r="C304" s="290">
        <v>15</v>
      </c>
      <c r="D304" s="290" t="s">
        <v>378</v>
      </c>
      <c r="E304" s="291">
        <f t="shared" si="91"/>
        <v>16800</v>
      </c>
      <c r="F304" s="290">
        <v>5</v>
      </c>
      <c r="G304" s="291">
        <f t="shared" si="87"/>
        <v>5600</v>
      </c>
      <c r="H304" s="290">
        <v>5</v>
      </c>
      <c r="I304" s="291">
        <f t="shared" si="88"/>
        <v>5600</v>
      </c>
      <c r="J304" s="290">
        <v>5</v>
      </c>
      <c r="K304" s="291">
        <f t="shared" si="89"/>
        <v>5600</v>
      </c>
      <c r="L304" s="290"/>
      <c r="M304" s="291">
        <f t="shared" si="90"/>
        <v>0</v>
      </c>
    </row>
    <row r="305" spans="1:13" ht="15.75">
      <c r="A305" s="290" t="s">
        <v>661</v>
      </c>
      <c r="B305" s="291">
        <v>55</v>
      </c>
      <c r="C305" s="290">
        <v>20</v>
      </c>
      <c r="D305" s="290"/>
      <c r="E305" s="291">
        <f t="shared" si="91"/>
        <v>1100</v>
      </c>
      <c r="F305" s="290">
        <v>10</v>
      </c>
      <c r="G305" s="291">
        <f t="shared" si="87"/>
        <v>550</v>
      </c>
      <c r="H305" s="290"/>
      <c r="I305" s="291">
        <f t="shared" si="88"/>
        <v>0</v>
      </c>
      <c r="J305" s="290">
        <v>10</v>
      </c>
      <c r="K305" s="291">
        <f t="shared" si="89"/>
        <v>550</v>
      </c>
      <c r="L305" s="290"/>
      <c r="M305" s="291">
        <f t="shared" si="90"/>
        <v>0</v>
      </c>
    </row>
    <row r="306" spans="1:13" ht="15.75">
      <c r="A306" s="290" t="s">
        <v>453</v>
      </c>
      <c r="B306" s="291">
        <v>32</v>
      </c>
      <c r="C306" s="290">
        <v>20</v>
      </c>
      <c r="D306" s="290" t="s">
        <v>378</v>
      </c>
      <c r="E306" s="291">
        <f t="shared" si="91"/>
        <v>640</v>
      </c>
      <c r="F306" s="290"/>
      <c r="G306" s="291">
        <f t="shared" si="87"/>
        <v>0</v>
      </c>
      <c r="H306" s="290">
        <v>20</v>
      </c>
      <c r="I306" s="291">
        <f t="shared" si="88"/>
        <v>640</v>
      </c>
      <c r="J306" s="290"/>
      <c r="K306" s="291">
        <f t="shared" si="89"/>
        <v>0</v>
      </c>
      <c r="L306" s="290"/>
      <c r="M306" s="291">
        <f t="shared" si="90"/>
        <v>0</v>
      </c>
    </row>
    <row r="307" spans="1:13" ht="15.75">
      <c r="A307" s="290" t="s">
        <v>454</v>
      </c>
      <c r="B307" s="291">
        <v>76</v>
      </c>
      <c r="C307" s="290">
        <v>30</v>
      </c>
      <c r="D307" s="290" t="s">
        <v>378</v>
      </c>
      <c r="E307" s="291">
        <f t="shared" si="91"/>
        <v>2280</v>
      </c>
      <c r="F307" s="290">
        <v>15</v>
      </c>
      <c r="G307" s="291">
        <f t="shared" si="87"/>
        <v>1140</v>
      </c>
      <c r="H307" s="290"/>
      <c r="I307" s="291">
        <f t="shared" si="88"/>
        <v>0</v>
      </c>
      <c r="J307" s="290">
        <v>15</v>
      </c>
      <c r="K307" s="291">
        <f t="shared" si="89"/>
        <v>1140</v>
      </c>
      <c r="L307" s="290"/>
      <c r="M307" s="291">
        <f t="shared" si="90"/>
        <v>0</v>
      </c>
    </row>
    <row r="308" spans="1:13" ht="15.75">
      <c r="A308" s="290" t="s">
        <v>455</v>
      </c>
      <c r="B308" s="291">
        <v>32</v>
      </c>
      <c r="C308" s="290">
        <v>80</v>
      </c>
      <c r="D308" s="290" t="s">
        <v>378</v>
      </c>
      <c r="E308" s="291">
        <f t="shared" si="91"/>
        <v>2560</v>
      </c>
      <c r="F308" s="290">
        <v>20</v>
      </c>
      <c r="G308" s="291">
        <f t="shared" si="87"/>
        <v>640</v>
      </c>
      <c r="H308" s="290">
        <v>20</v>
      </c>
      <c r="I308" s="291">
        <f t="shared" si="88"/>
        <v>640</v>
      </c>
      <c r="J308" s="290">
        <v>20</v>
      </c>
      <c r="K308" s="291">
        <f t="shared" si="89"/>
        <v>640</v>
      </c>
      <c r="L308" s="290">
        <v>20</v>
      </c>
      <c r="M308" s="291">
        <f t="shared" si="90"/>
        <v>640</v>
      </c>
    </row>
    <row r="309" spans="1:13" ht="15.75">
      <c r="A309" s="290" t="s">
        <v>662</v>
      </c>
      <c r="B309" s="291">
        <v>25</v>
      </c>
      <c r="C309" s="290">
        <v>60</v>
      </c>
      <c r="D309" s="290"/>
      <c r="E309" s="291">
        <f t="shared" si="91"/>
        <v>1500</v>
      </c>
      <c r="F309" s="290">
        <v>30</v>
      </c>
      <c r="G309" s="291">
        <f t="shared" si="87"/>
        <v>750</v>
      </c>
      <c r="H309" s="290"/>
      <c r="I309" s="291">
        <f t="shared" si="88"/>
        <v>0</v>
      </c>
      <c r="J309" s="290">
        <v>30</v>
      </c>
      <c r="K309" s="291">
        <f t="shared" si="89"/>
        <v>750</v>
      </c>
      <c r="L309" s="290"/>
      <c r="M309" s="291">
        <f t="shared" si="90"/>
        <v>0</v>
      </c>
    </row>
    <row r="310" spans="1:13" ht="15.75">
      <c r="A310" s="290" t="s">
        <v>663</v>
      </c>
      <c r="B310" s="291">
        <v>50</v>
      </c>
      <c r="C310" s="290">
        <v>60</v>
      </c>
      <c r="D310" s="290"/>
      <c r="E310" s="291">
        <f t="shared" si="91"/>
        <v>3000</v>
      </c>
      <c r="F310" s="290">
        <v>30</v>
      </c>
      <c r="G310" s="291">
        <f t="shared" si="87"/>
        <v>1500</v>
      </c>
      <c r="H310" s="290"/>
      <c r="I310" s="291">
        <f t="shared" si="88"/>
        <v>0</v>
      </c>
      <c r="J310" s="290">
        <v>30</v>
      </c>
      <c r="K310" s="291">
        <f t="shared" si="89"/>
        <v>1500</v>
      </c>
      <c r="L310" s="290"/>
      <c r="M310" s="291">
        <f t="shared" si="90"/>
        <v>0</v>
      </c>
    </row>
    <row r="311" spans="1:13" ht="15.75">
      <c r="A311" s="290" t="s">
        <v>664</v>
      </c>
      <c r="B311" s="291">
        <v>600</v>
      </c>
      <c r="C311" s="290">
        <v>15</v>
      </c>
      <c r="D311" s="290" t="s">
        <v>378</v>
      </c>
      <c r="E311" s="291">
        <f t="shared" si="91"/>
        <v>9000</v>
      </c>
      <c r="F311" s="290">
        <v>5</v>
      </c>
      <c r="G311" s="291">
        <f t="shared" si="87"/>
        <v>3000</v>
      </c>
      <c r="H311" s="290">
        <v>5</v>
      </c>
      <c r="I311" s="291">
        <f t="shared" si="88"/>
        <v>3000</v>
      </c>
      <c r="J311" s="290">
        <v>5</v>
      </c>
      <c r="K311" s="291">
        <f t="shared" si="89"/>
        <v>3000</v>
      </c>
      <c r="L311" s="290"/>
      <c r="M311" s="291">
        <f t="shared" si="90"/>
        <v>0</v>
      </c>
    </row>
    <row r="312" spans="1:13" ht="15.75">
      <c r="A312" s="290" t="s">
        <v>456</v>
      </c>
      <c r="B312" s="291">
        <v>1240</v>
      </c>
      <c r="C312" s="290">
        <v>5</v>
      </c>
      <c r="D312" s="290" t="s">
        <v>378</v>
      </c>
      <c r="E312" s="291">
        <f t="shared" si="91"/>
        <v>6200</v>
      </c>
      <c r="F312" s="290">
        <v>3</v>
      </c>
      <c r="G312" s="291">
        <f t="shared" si="87"/>
        <v>3720</v>
      </c>
      <c r="H312" s="290"/>
      <c r="I312" s="291">
        <f t="shared" si="88"/>
        <v>0</v>
      </c>
      <c r="J312" s="290">
        <v>2</v>
      </c>
      <c r="K312" s="291">
        <f t="shared" si="89"/>
        <v>2480</v>
      </c>
      <c r="L312" s="290"/>
      <c r="M312" s="291">
        <f t="shared" si="90"/>
        <v>0</v>
      </c>
    </row>
    <row r="313" spans="1:13" ht="15.75">
      <c r="A313" s="290" t="s">
        <v>665</v>
      </c>
      <c r="B313" s="291">
        <v>400</v>
      </c>
      <c r="C313" s="290">
        <v>10</v>
      </c>
      <c r="D313" s="290" t="s">
        <v>378</v>
      </c>
      <c r="E313" s="291">
        <f t="shared" si="91"/>
        <v>4000</v>
      </c>
      <c r="F313" s="290">
        <v>5</v>
      </c>
      <c r="G313" s="291">
        <f t="shared" si="87"/>
        <v>2000</v>
      </c>
      <c r="H313" s="290"/>
      <c r="I313" s="291">
        <f t="shared" si="88"/>
        <v>0</v>
      </c>
      <c r="J313" s="290">
        <v>5</v>
      </c>
      <c r="K313" s="291">
        <f t="shared" si="89"/>
        <v>2000</v>
      </c>
      <c r="L313" s="290"/>
      <c r="M313" s="291">
        <f t="shared" si="90"/>
        <v>0</v>
      </c>
    </row>
    <row r="314" spans="1:13" ht="15.75">
      <c r="A314" s="290" t="s">
        <v>457</v>
      </c>
      <c r="B314" s="291">
        <v>22</v>
      </c>
      <c r="C314" s="290">
        <v>50</v>
      </c>
      <c r="D314" s="290" t="s">
        <v>378</v>
      </c>
      <c r="E314" s="291">
        <f t="shared" si="91"/>
        <v>1100</v>
      </c>
      <c r="F314" s="290">
        <v>25</v>
      </c>
      <c r="G314" s="291">
        <f t="shared" si="87"/>
        <v>550</v>
      </c>
      <c r="H314" s="290"/>
      <c r="I314" s="291">
        <f t="shared" si="88"/>
        <v>0</v>
      </c>
      <c r="J314" s="290">
        <v>25</v>
      </c>
      <c r="K314" s="291">
        <f t="shared" si="89"/>
        <v>550</v>
      </c>
      <c r="L314" s="290"/>
      <c r="M314" s="291">
        <f t="shared" si="90"/>
        <v>0</v>
      </c>
    </row>
    <row r="315" spans="1:13" ht="15.75">
      <c r="A315" s="290" t="s">
        <v>458</v>
      </c>
      <c r="B315" s="291">
        <v>44</v>
      </c>
      <c r="C315" s="290">
        <v>20</v>
      </c>
      <c r="D315" s="290" t="s">
        <v>378</v>
      </c>
      <c r="E315" s="291">
        <f t="shared" si="91"/>
        <v>880</v>
      </c>
      <c r="F315" s="290">
        <v>10</v>
      </c>
      <c r="G315" s="291">
        <f t="shared" si="87"/>
        <v>440</v>
      </c>
      <c r="H315" s="290"/>
      <c r="I315" s="291">
        <f t="shared" si="88"/>
        <v>0</v>
      </c>
      <c r="J315" s="290">
        <v>10</v>
      </c>
      <c r="K315" s="291">
        <f t="shared" si="89"/>
        <v>440</v>
      </c>
      <c r="L315" s="290"/>
      <c r="M315" s="291">
        <f t="shared" si="90"/>
        <v>0</v>
      </c>
    </row>
    <row r="316" spans="1:13" ht="15.75">
      <c r="A316" s="290" t="s">
        <v>402</v>
      </c>
      <c r="B316" s="291">
        <v>16</v>
      </c>
      <c r="C316" s="290">
        <v>100</v>
      </c>
      <c r="D316" s="290" t="s">
        <v>378</v>
      </c>
      <c r="E316" s="291">
        <f t="shared" si="91"/>
        <v>1600</v>
      </c>
      <c r="F316" s="290">
        <v>25</v>
      </c>
      <c r="G316" s="291">
        <f t="shared" si="87"/>
        <v>400</v>
      </c>
      <c r="H316" s="290">
        <v>25</v>
      </c>
      <c r="I316" s="291">
        <f t="shared" si="88"/>
        <v>400</v>
      </c>
      <c r="J316" s="290">
        <v>25</v>
      </c>
      <c r="K316" s="291">
        <f t="shared" si="89"/>
        <v>400</v>
      </c>
      <c r="L316" s="290">
        <v>25</v>
      </c>
      <c r="M316" s="291">
        <f t="shared" si="90"/>
        <v>400</v>
      </c>
    </row>
    <row r="317" spans="1:13" ht="15.75">
      <c r="A317" s="290" t="s">
        <v>666</v>
      </c>
      <c r="B317" s="291">
        <v>75</v>
      </c>
      <c r="C317" s="290">
        <v>15</v>
      </c>
      <c r="D317" s="290"/>
      <c r="E317" s="291">
        <f t="shared" si="91"/>
        <v>1125</v>
      </c>
      <c r="F317" s="290"/>
      <c r="G317" s="291">
        <f t="shared" si="87"/>
        <v>0</v>
      </c>
      <c r="H317" s="290">
        <v>5</v>
      </c>
      <c r="I317" s="291">
        <f t="shared" si="88"/>
        <v>375</v>
      </c>
      <c r="J317" s="290">
        <v>5</v>
      </c>
      <c r="K317" s="291">
        <f t="shared" si="89"/>
        <v>375</v>
      </c>
      <c r="L317" s="290">
        <v>5</v>
      </c>
      <c r="M317" s="291">
        <f t="shared" si="90"/>
        <v>375</v>
      </c>
    </row>
    <row r="318" spans="1:13" ht="15.75">
      <c r="A318" s="299" t="s">
        <v>459</v>
      </c>
      <c r="B318" s="300">
        <v>40</v>
      </c>
      <c r="C318" s="299">
        <v>40</v>
      </c>
      <c r="D318" s="299" t="s">
        <v>378</v>
      </c>
      <c r="E318" s="291">
        <f t="shared" si="91"/>
        <v>1600</v>
      </c>
      <c r="F318" s="299">
        <v>10</v>
      </c>
      <c r="G318" s="291">
        <f t="shared" si="87"/>
        <v>400</v>
      </c>
      <c r="H318" s="299">
        <v>10</v>
      </c>
      <c r="I318" s="291">
        <f t="shared" si="88"/>
        <v>400</v>
      </c>
      <c r="J318" s="299">
        <v>10</v>
      </c>
      <c r="K318" s="291">
        <f t="shared" si="89"/>
        <v>400</v>
      </c>
      <c r="L318" s="299">
        <v>10</v>
      </c>
      <c r="M318" s="291">
        <f t="shared" si="90"/>
        <v>400</v>
      </c>
    </row>
    <row r="319" spans="1:13" ht="15.75">
      <c r="A319" s="299" t="s">
        <v>460</v>
      </c>
      <c r="B319" s="300">
        <v>100</v>
      </c>
      <c r="C319" s="299">
        <v>15</v>
      </c>
      <c r="D319" s="299" t="s">
        <v>378</v>
      </c>
      <c r="E319" s="291">
        <f t="shared" si="91"/>
        <v>1500</v>
      </c>
      <c r="F319" s="299">
        <v>5</v>
      </c>
      <c r="G319" s="291">
        <f t="shared" si="87"/>
        <v>500</v>
      </c>
      <c r="H319" s="299">
        <v>5</v>
      </c>
      <c r="I319" s="291">
        <f t="shared" si="88"/>
        <v>500</v>
      </c>
      <c r="J319" s="299">
        <v>5</v>
      </c>
      <c r="K319" s="291">
        <f t="shared" si="89"/>
        <v>500</v>
      </c>
      <c r="L319" s="299"/>
      <c r="M319" s="291">
        <f t="shared" si="90"/>
        <v>0</v>
      </c>
    </row>
    <row r="320" spans="1:13" ht="15.75">
      <c r="A320" s="290" t="s">
        <v>461</v>
      </c>
      <c r="B320" s="291">
        <v>28</v>
      </c>
      <c r="C320" s="290">
        <v>20</v>
      </c>
      <c r="D320" s="290" t="s">
        <v>378</v>
      </c>
      <c r="E320" s="291">
        <f t="shared" si="91"/>
        <v>560</v>
      </c>
      <c r="F320" s="290">
        <v>10</v>
      </c>
      <c r="G320" s="291">
        <f t="shared" si="87"/>
        <v>280</v>
      </c>
      <c r="H320" s="290"/>
      <c r="I320" s="291">
        <f t="shared" si="88"/>
        <v>0</v>
      </c>
      <c r="J320" s="290">
        <v>10</v>
      </c>
      <c r="K320" s="291">
        <f t="shared" si="89"/>
        <v>280</v>
      </c>
      <c r="L320" s="290"/>
      <c r="M320" s="291">
        <f t="shared" si="90"/>
        <v>0</v>
      </c>
    </row>
    <row r="321" spans="1:13" ht="15.75">
      <c r="A321" s="290" t="s">
        <v>462</v>
      </c>
      <c r="B321" s="291">
        <v>32</v>
      </c>
      <c r="C321" s="290">
        <v>20</v>
      </c>
      <c r="D321" s="290" t="s">
        <v>378</v>
      </c>
      <c r="E321" s="291">
        <f t="shared" si="91"/>
        <v>640</v>
      </c>
      <c r="F321" s="290">
        <v>10</v>
      </c>
      <c r="G321" s="291">
        <f t="shared" si="87"/>
        <v>320</v>
      </c>
      <c r="H321" s="290"/>
      <c r="I321" s="291">
        <f t="shared" si="88"/>
        <v>0</v>
      </c>
      <c r="J321" s="290">
        <v>10</v>
      </c>
      <c r="K321" s="291">
        <f t="shared" si="89"/>
        <v>320</v>
      </c>
      <c r="L321" s="290"/>
      <c r="M321" s="291">
        <f t="shared" si="90"/>
        <v>0</v>
      </c>
    </row>
    <row r="322" spans="1:13" ht="15.75">
      <c r="A322" s="290" t="s">
        <v>463</v>
      </c>
      <c r="B322" s="291">
        <v>48</v>
      </c>
      <c r="C322" s="290">
        <v>40</v>
      </c>
      <c r="D322" s="290" t="s">
        <v>378</v>
      </c>
      <c r="E322" s="291">
        <f t="shared" ref="E322:E354" si="92">B322*C322</f>
        <v>1920</v>
      </c>
      <c r="F322" s="290">
        <v>20</v>
      </c>
      <c r="G322" s="291">
        <f t="shared" si="87"/>
        <v>960</v>
      </c>
      <c r="H322" s="290"/>
      <c r="I322" s="291">
        <f t="shared" si="88"/>
        <v>0</v>
      </c>
      <c r="J322" s="290">
        <v>20</v>
      </c>
      <c r="K322" s="291">
        <f t="shared" si="89"/>
        <v>960</v>
      </c>
      <c r="L322" s="290"/>
      <c r="M322" s="291">
        <f t="shared" si="90"/>
        <v>0</v>
      </c>
    </row>
    <row r="323" spans="1:13" ht="15.75">
      <c r="A323" s="290" t="s">
        <v>464</v>
      </c>
      <c r="B323" s="291">
        <v>118</v>
      </c>
      <c r="C323" s="290">
        <v>40</v>
      </c>
      <c r="D323" s="290" t="s">
        <v>378</v>
      </c>
      <c r="E323" s="291">
        <f t="shared" si="92"/>
        <v>4720</v>
      </c>
      <c r="F323" s="290"/>
      <c r="G323" s="291">
        <f t="shared" si="87"/>
        <v>0</v>
      </c>
      <c r="H323" s="290">
        <v>20</v>
      </c>
      <c r="I323" s="291">
        <f t="shared" si="88"/>
        <v>2360</v>
      </c>
      <c r="J323" s="290"/>
      <c r="K323" s="291">
        <f t="shared" si="89"/>
        <v>0</v>
      </c>
      <c r="L323" s="290">
        <v>20</v>
      </c>
      <c r="M323" s="291">
        <f t="shared" si="90"/>
        <v>2360</v>
      </c>
    </row>
    <row r="324" spans="1:13" ht="15.75">
      <c r="A324" s="290" t="s">
        <v>465</v>
      </c>
      <c r="B324" s="291">
        <v>110</v>
      </c>
      <c r="C324" s="290">
        <v>40</v>
      </c>
      <c r="D324" s="290" t="s">
        <v>378</v>
      </c>
      <c r="E324" s="291">
        <f t="shared" si="92"/>
        <v>4400</v>
      </c>
      <c r="F324" s="290"/>
      <c r="G324" s="291">
        <f t="shared" si="87"/>
        <v>0</v>
      </c>
      <c r="H324" s="290">
        <v>20</v>
      </c>
      <c r="I324" s="291">
        <f t="shared" si="88"/>
        <v>2200</v>
      </c>
      <c r="J324" s="290"/>
      <c r="K324" s="291">
        <f t="shared" si="89"/>
        <v>0</v>
      </c>
      <c r="L324" s="290">
        <v>20</v>
      </c>
      <c r="M324" s="291">
        <f t="shared" si="90"/>
        <v>2200</v>
      </c>
    </row>
    <row r="325" spans="1:13" ht="15.75">
      <c r="A325" s="299" t="s">
        <v>466</v>
      </c>
      <c r="B325" s="300">
        <v>180</v>
      </c>
      <c r="C325" s="299">
        <v>20</v>
      </c>
      <c r="D325" s="299" t="s">
        <v>378</v>
      </c>
      <c r="E325" s="291">
        <f t="shared" si="92"/>
        <v>3600</v>
      </c>
      <c r="F325" s="299"/>
      <c r="G325" s="291">
        <f t="shared" si="87"/>
        <v>0</v>
      </c>
      <c r="H325" s="299">
        <v>10</v>
      </c>
      <c r="I325" s="291">
        <f t="shared" si="88"/>
        <v>1800</v>
      </c>
      <c r="J325" s="299"/>
      <c r="K325" s="291">
        <f t="shared" si="89"/>
        <v>0</v>
      </c>
      <c r="L325" s="299">
        <v>10</v>
      </c>
      <c r="M325" s="291">
        <f t="shared" si="90"/>
        <v>1800</v>
      </c>
    </row>
    <row r="326" spans="1:13" ht="15.75">
      <c r="A326" s="290" t="s">
        <v>467</v>
      </c>
      <c r="B326" s="291">
        <v>90</v>
      </c>
      <c r="C326" s="290">
        <v>60</v>
      </c>
      <c r="D326" s="290" t="s">
        <v>378</v>
      </c>
      <c r="E326" s="291">
        <f t="shared" si="92"/>
        <v>5400</v>
      </c>
      <c r="F326" s="290"/>
      <c r="G326" s="291">
        <f t="shared" si="87"/>
        <v>0</v>
      </c>
      <c r="H326" s="290">
        <v>30</v>
      </c>
      <c r="I326" s="291">
        <f t="shared" si="88"/>
        <v>2700</v>
      </c>
      <c r="J326" s="290"/>
      <c r="K326" s="291">
        <f t="shared" si="89"/>
        <v>0</v>
      </c>
      <c r="L326" s="290">
        <v>30</v>
      </c>
      <c r="M326" s="291">
        <f t="shared" si="90"/>
        <v>2700</v>
      </c>
    </row>
    <row r="327" spans="1:13" ht="15.75">
      <c r="A327" s="290" t="s">
        <v>468</v>
      </c>
      <c r="B327" s="291">
        <v>110</v>
      </c>
      <c r="C327" s="290">
        <v>40</v>
      </c>
      <c r="D327" s="290" t="s">
        <v>378</v>
      </c>
      <c r="E327" s="291">
        <f t="shared" si="92"/>
        <v>4400</v>
      </c>
      <c r="F327" s="290"/>
      <c r="G327" s="291">
        <f t="shared" si="87"/>
        <v>0</v>
      </c>
      <c r="H327" s="290">
        <v>20</v>
      </c>
      <c r="I327" s="291">
        <f t="shared" si="88"/>
        <v>2200</v>
      </c>
      <c r="J327" s="290"/>
      <c r="K327" s="291">
        <f t="shared" si="89"/>
        <v>0</v>
      </c>
      <c r="L327" s="290">
        <v>20</v>
      </c>
      <c r="M327" s="291">
        <f t="shared" si="90"/>
        <v>2200</v>
      </c>
    </row>
    <row r="328" spans="1:13" ht="15.75">
      <c r="A328" s="290" t="s">
        <v>469</v>
      </c>
      <c r="B328" s="291">
        <v>67</v>
      </c>
      <c r="C328" s="290">
        <v>80</v>
      </c>
      <c r="D328" s="290" t="s">
        <v>378</v>
      </c>
      <c r="E328" s="291">
        <f t="shared" si="92"/>
        <v>5360</v>
      </c>
      <c r="F328" s="290">
        <v>40</v>
      </c>
      <c r="G328" s="291">
        <f t="shared" si="87"/>
        <v>2680</v>
      </c>
      <c r="H328" s="290"/>
      <c r="I328" s="291">
        <f t="shared" si="88"/>
        <v>0</v>
      </c>
      <c r="J328" s="290">
        <v>40</v>
      </c>
      <c r="K328" s="291">
        <f t="shared" si="89"/>
        <v>2680</v>
      </c>
      <c r="L328" s="290"/>
      <c r="M328" s="291">
        <f t="shared" si="90"/>
        <v>0</v>
      </c>
    </row>
    <row r="329" spans="1:13" ht="15.75">
      <c r="A329" s="290" t="s">
        <v>470</v>
      </c>
      <c r="B329" s="291">
        <v>128</v>
      </c>
      <c r="C329" s="290">
        <v>10</v>
      </c>
      <c r="D329" s="290" t="s">
        <v>378</v>
      </c>
      <c r="E329" s="291">
        <f t="shared" si="92"/>
        <v>1280</v>
      </c>
      <c r="F329" s="290">
        <v>5</v>
      </c>
      <c r="G329" s="291">
        <f t="shared" si="87"/>
        <v>640</v>
      </c>
      <c r="H329" s="290"/>
      <c r="I329" s="291">
        <f t="shared" si="88"/>
        <v>0</v>
      </c>
      <c r="J329" s="290">
        <v>5</v>
      </c>
      <c r="K329" s="291">
        <f t="shared" si="89"/>
        <v>640</v>
      </c>
      <c r="L329" s="290"/>
      <c r="M329" s="291">
        <f t="shared" si="90"/>
        <v>0</v>
      </c>
    </row>
    <row r="330" spans="1:13" ht="15.75">
      <c r="A330" s="290" t="s">
        <v>471</v>
      </c>
      <c r="B330" s="291">
        <v>47</v>
      </c>
      <c r="C330" s="290">
        <v>80</v>
      </c>
      <c r="D330" s="290" t="s">
        <v>378</v>
      </c>
      <c r="E330" s="291">
        <f t="shared" si="92"/>
        <v>3760</v>
      </c>
      <c r="F330" s="290">
        <v>40</v>
      </c>
      <c r="G330" s="291">
        <f t="shared" si="87"/>
        <v>1880</v>
      </c>
      <c r="H330" s="290"/>
      <c r="I330" s="291">
        <f t="shared" si="88"/>
        <v>0</v>
      </c>
      <c r="J330" s="290">
        <v>40</v>
      </c>
      <c r="K330" s="291">
        <f t="shared" si="89"/>
        <v>1880</v>
      </c>
      <c r="L330" s="290"/>
      <c r="M330" s="291">
        <f t="shared" si="90"/>
        <v>0</v>
      </c>
    </row>
    <row r="331" spans="1:13" ht="15.75">
      <c r="A331" s="290" t="s">
        <v>472</v>
      </c>
      <c r="B331" s="291">
        <v>420</v>
      </c>
      <c r="C331" s="290">
        <v>15</v>
      </c>
      <c r="D331" s="290" t="s">
        <v>378</v>
      </c>
      <c r="E331" s="291">
        <f t="shared" si="92"/>
        <v>6300</v>
      </c>
      <c r="F331" s="290"/>
      <c r="G331" s="291">
        <f t="shared" si="87"/>
        <v>0</v>
      </c>
      <c r="H331" s="290">
        <v>15</v>
      </c>
      <c r="I331" s="291">
        <f t="shared" si="88"/>
        <v>6300</v>
      </c>
      <c r="J331" s="290"/>
      <c r="K331" s="291">
        <f t="shared" si="89"/>
        <v>0</v>
      </c>
      <c r="L331" s="290"/>
      <c r="M331" s="291">
        <f t="shared" si="90"/>
        <v>0</v>
      </c>
    </row>
    <row r="332" spans="1:13" ht="15.75">
      <c r="A332" s="290" t="s">
        <v>473</v>
      </c>
      <c r="B332" s="291">
        <v>160</v>
      </c>
      <c r="C332" s="290">
        <v>30</v>
      </c>
      <c r="D332" s="290" t="s">
        <v>378</v>
      </c>
      <c r="E332" s="291">
        <f t="shared" si="92"/>
        <v>4800</v>
      </c>
      <c r="F332" s="290">
        <v>15</v>
      </c>
      <c r="G332" s="291">
        <f t="shared" si="87"/>
        <v>2400</v>
      </c>
      <c r="H332" s="290"/>
      <c r="I332" s="291">
        <f t="shared" si="88"/>
        <v>0</v>
      </c>
      <c r="J332" s="290">
        <v>15</v>
      </c>
      <c r="K332" s="291">
        <f t="shared" si="89"/>
        <v>2400</v>
      </c>
      <c r="L332" s="290"/>
      <c r="M332" s="291">
        <f t="shared" si="90"/>
        <v>0</v>
      </c>
    </row>
    <row r="333" spans="1:13" ht="15.75">
      <c r="A333" s="290" t="s">
        <v>474</v>
      </c>
      <c r="B333" s="291">
        <v>138</v>
      </c>
      <c r="C333" s="290">
        <v>20</v>
      </c>
      <c r="D333" s="290" t="s">
        <v>378</v>
      </c>
      <c r="E333" s="291">
        <f t="shared" si="92"/>
        <v>2760</v>
      </c>
      <c r="F333" s="290">
        <v>10</v>
      </c>
      <c r="G333" s="291">
        <f t="shared" si="87"/>
        <v>1380</v>
      </c>
      <c r="H333" s="290"/>
      <c r="I333" s="291">
        <f t="shared" si="88"/>
        <v>0</v>
      </c>
      <c r="J333" s="290">
        <v>10</v>
      </c>
      <c r="K333" s="291">
        <f t="shared" si="89"/>
        <v>1380</v>
      </c>
      <c r="L333" s="290"/>
      <c r="M333" s="291">
        <f t="shared" si="90"/>
        <v>0</v>
      </c>
    </row>
    <row r="334" spans="1:13" ht="15.75">
      <c r="A334" s="290" t="s">
        <v>475</v>
      </c>
      <c r="B334" s="291">
        <v>102</v>
      </c>
      <c r="C334" s="290">
        <v>60</v>
      </c>
      <c r="D334" s="290" t="s">
        <v>378</v>
      </c>
      <c r="E334" s="291">
        <f t="shared" si="92"/>
        <v>6120</v>
      </c>
      <c r="F334" s="290">
        <v>15</v>
      </c>
      <c r="G334" s="291">
        <f t="shared" si="87"/>
        <v>1530</v>
      </c>
      <c r="H334" s="290">
        <v>15</v>
      </c>
      <c r="I334" s="291">
        <f t="shared" si="88"/>
        <v>1530</v>
      </c>
      <c r="J334" s="290">
        <v>15</v>
      </c>
      <c r="K334" s="291">
        <f t="shared" si="89"/>
        <v>1530</v>
      </c>
      <c r="L334" s="290">
        <v>15</v>
      </c>
      <c r="M334" s="291">
        <f t="shared" si="90"/>
        <v>1530</v>
      </c>
    </row>
    <row r="335" spans="1:13" ht="15.75">
      <c r="A335" s="290" t="s">
        <v>476</v>
      </c>
      <c r="B335" s="291">
        <v>485</v>
      </c>
      <c r="C335" s="290">
        <v>10</v>
      </c>
      <c r="D335" s="290" t="s">
        <v>378</v>
      </c>
      <c r="E335" s="291">
        <f t="shared" si="92"/>
        <v>4850</v>
      </c>
      <c r="F335" s="290"/>
      <c r="G335" s="291">
        <f t="shared" si="87"/>
        <v>0</v>
      </c>
      <c r="H335" s="290">
        <v>10</v>
      </c>
      <c r="I335" s="291">
        <f t="shared" si="88"/>
        <v>4850</v>
      </c>
      <c r="J335" s="290"/>
      <c r="K335" s="291">
        <f t="shared" si="89"/>
        <v>0</v>
      </c>
      <c r="L335" s="290"/>
      <c r="M335" s="291">
        <f t="shared" si="90"/>
        <v>0</v>
      </c>
    </row>
    <row r="336" spans="1:13" ht="15.75">
      <c r="A336" s="290" t="s">
        <v>477</v>
      </c>
      <c r="B336" s="291">
        <v>125</v>
      </c>
      <c r="C336" s="290">
        <v>80</v>
      </c>
      <c r="D336" s="290" t="s">
        <v>378</v>
      </c>
      <c r="E336" s="291">
        <f t="shared" si="92"/>
        <v>10000</v>
      </c>
      <c r="F336" s="290">
        <v>40</v>
      </c>
      <c r="G336" s="291">
        <f t="shared" ref="G336:G356" si="93">B336*F336</f>
        <v>5000</v>
      </c>
      <c r="H336" s="290"/>
      <c r="I336" s="291">
        <f t="shared" ref="I336:I356" si="94">B336*H336</f>
        <v>0</v>
      </c>
      <c r="J336" s="290">
        <v>40</v>
      </c>
      <c r="K336" s="291">
        <f t="shared" ref="K336:K356" si="95">B336*J336</f>
        <v>5000</v>
      </c>
      <c r="L336" s="290"/>
      <c r="M336" s="291">
        <f t="shared" ref="M336:M356" si="96">B336*L336</f>
        <v>0</v>
      </c>
    </row>
    <row r="337" spans="1:13" ht="15.75">
      <c r="A337" s="290" t="s">
        <v>478</v>
      </c>
      <c r="B337" s="291">
        <v>4236</v>
      </c>
      <c r="C337" s="290">
        <v>10</v>
      </c>
      <c r="D337" s="290" t="s">
        <v>479</v>
      </c>
      <c r="E337" s="291">
        <f t="shared" si="92"/>
        <v>42360</v>
      </c>
      <c r="F337" s="290">
        <v>5</v>
      </c>
      <c r="G337" s="291">
        <f t="shared" si="93"/>
        <v>21180</v>
      </c>
      <c r="H337" s="290"/>
      <c r="I337" s="291">
        <f t="shared" si="94"/>
        <v>0</v>
      </c>
      <c r="J337" s="290">
        <v>5</v>
      </c>
      <c r="K337" s="291">
        <f t="shared" si="95"/>
        <v>21180</v>
      </c>
      <c r="L337" s="290"/>
      <c r="M337" s="291">
        <f t="shared" si="96"/>
        <v>0</v>
      </c>
    </row>
    <row r="338" spans="1:13" ht="15.75">
      <c r="A338" s="299" t="s">
        <v>480</v>
      </c>
      <c r="B338" s="300">
        <v>4500</v>
      </c>
      <c r="C338" s="299">
        <v>24</v>
      </c>
      <c r="D338" s="299" t="s">
        <v>479</v>
      </c>
      <c r="E338" s="291">
        <f t="shared" si="92"/>
        <v>108000</v>
      </c>
      <c r="F338" s="299">
        <v>6</v>
      </c>
      <c r="G338" s="291">
        <f t="shared" si="93"/>
        <v>27000</v>
      </c>
      <c r="H338" s="299">
        <v>6</v>
      </c>
      <c r="I338" s="291">
        <f t="shared" si="94"/>
        <v>27000</v>
      </c>
      <c r="J338" s="299">
        <v>6</v>
      </c>
      <c r="K338" s="291">
        <f t="shared" si="95"/>
        <v>27000</v>
      </c>
      <c r="L338" s="299">
        <v>6</v>
      </c>
      <c r="M338" s="291">
        <f t="shared" si="96"/>
        <v>27000</v>
      </c>
    </row>
    <row r="339" spans="1:13" ht="15.75">
      <c r="A339" s="290" t="s">
        <v>481</v>
      </c>
      <c r="B339" s="291">
        <v>3600</v>
      </c>
      <c r="C339" s="290">
        <v>3</v>
      </c>
      <c r="D339" s="290" t="s">
        <v>479</v>
      </c>
      <c r="E339" s="291">
        <f t="shared" si="92"/>
        <v>10800</v>
      </c>
      <c r="F339" s="290">
        <v>3</v>
      </c>
      <c r="G339" s="291">
        <f t="shared" si="93"/>
        <v>10800</v>
      </c>
      <c r="H339" s="290"/>
      <c r="I339" s="291">
        <f t="shared" si="94"/>
        <v>0</v>
      </c>
      <c r="J339" s="290"/>
      <c r="K339" s="291">
        <f t="shared" si="95"/>
        <v>0</v>
      </c>
      <c r="L339" s="290"/>
      <c r="M339" s="291">
        <f t="shared" si="96"/>
        <v>0</v>
      </c>
    </row>
    <row r="340" spans="1:13" ht="15.75">
      <c r="A340" s="290" t="s">
        <v>482</v>
      </c>
      <c r="B340" s="291">
        <v>193</v>
      </c>
      <c r="C340" s="290">
        <v>10</v>
      </c>
      <c r="D340" s="290" t="s">
        <v>378</v>
      </c>
      <c r="E340" s="291">
        <f t="shared" si="92"/>
        <v>1930</v>
      </c>
      <c r="F340" s="290"/>
      <c r="G340" s="291">
        <f t="shared" si="93"/>
        <v>0</v>
      </c>
      <c r="H340" s="290">
        <v>10</v>
      </c>
      <c r="I340" s="291">
        <f t="shared" si="94"/>
        <v>1930</v>
      </c>
      <c r="J340" s="290"/>
      <c r="K340" s="291">
        <f t="shared" si="95"/>
        <v>0</v>
      </c>
      <c r="L340" s="290"/>
      <c r="M340" s="291">
        <f t="shared" si="96"/>
        <v>0</v>
      </c>
    </row>
    <row r="341" spans="1:13" ht="15.75">
      <c r="A341" s="290" t="s">
        <v>483</v>
      </c>
      <c r="B341" s="291">
        <v>193</v>
      </c>
      <c r="C341" s="290">
        <v>10</v>
      </c>
      <c r="D341" s="290" t="s">
        <v>378</v>
      </c>
      <c r="E341" s="291">
        <f t="shared" si="92"/>
        <v>1930</v>
      </c>
      <c r="F341" s="290"/>
      <c r="G341" s="291">
        <f t="shared" si="93"/>
        <v>0</v>
      </c>
      <c r="H341" s="290">
        <v>10</v>
      </c>
      <c r="I341" s="291">
        <f t="shared" si="94"/>
        <v>1930</v>
      </c>
      <c r="J341" s="290"/>
      <c r="K341" s="291">
        <f t="shared" si="95"/>
        <v>0</v>
      </c>
      <c r="L341" s="290"/>
      <c r="M341" s="291">
        <f t="shared" si="96"/>
        <v>0</v>
      </c>
    </row>
    <row r="342" spans="1:13" ht="15.75">
      <c r="A342" s="290" t="s">
        <v>484</v>
      </c>
      <c r="B342" s="291">
        <v>504</v>
      </c>
      <c r="C342" s="290">
        <v>10</v>
      </c>
      <c r="D342" s="290" t="s">
        <v>378</v>
      </c>
      <c r="E342" s="291">
        <f t="shared" si="92"/>
        <v>5040</v>
      </c>
      <c r="F342" s="290"/>
      <c r="G342" s="291">
        <f t="shared" si="93"/>
        <v>0</v>
      </c>
      <c r="H342" s="290"/>
      <c r="I342" s="291">
        <f t="shared" si="94"/>
        <v>0</v>
      </c>
      <c r="J342" s="290">
        <v>10</v>
      </c>
      <c r="K342" s="291">
        <f t="shared" si="95"/>
        <v>5040</v>
      </c>
      <c r="L342" s="290"/>
      <c r="M342" s="291">
        <f t="shared" si="96"/>
        <v>0</v>
      </c>
    </row>
    <row r="343" spans="1:13" ht="15.75">
      <c r="A343" s="290" t="s">
        <v>485</v>
      </c>
      <c r="B343" s="291">
        <v>573</v>
      </c>
      <c r="C343" s="290">
        <v>10</v>
      </c>
      <c r="D343" s="290" t="s">
        <v>378</v>
      </c>
      <c r="E343" s="291">
        <f t="shared" si="92"/>
        <v>5730</v>
      </c>
      <c r="F343" s="290"/>
      <c r="G343" s="291">
        <f t="shared" si="93"/>
        <v>0</v>
      </c>
      <c r="H343" s="290"/>
      <c r="I343" s="291">
        <f t="shared" si="94"/>
        <v>0</v>
      </c>
      <c r="J343" s="290">
        <v>10</v>
      </c>
      <c r="K343" s="291">
        <f t="shared" si="95"/>
        <v>5730</v>
      </c>
      <c r="L343" s="290"/>
      <c r="M343" s="291">
        <f t="shared" si="96"/>
        <v>0</v>
      </c>
    </row>
    <row r="344" spans="1:13" ht="15.75">
      <c r="A344" s="290" t="s">
        <v>486</v>
      </c>
      <c r="B344" s="291">
        <v>625</v>
      </c>
      <c r="C344" s="290">
        <v>10</v>
      </c>
      <c r="D344" s="290" t="s">
        <v>378</v>
      </c>
      <c r="E344" s="291">
        <f t="shared" si="92"/>
        <v>6250</v>
      </c>
      <c r="F344" s="290"/>
      <c r="G344" s="291">
        <f t="shared" si="93"/>
        <v>0</v>
      </c>
      <c r="H344" s="290"/>
      <c r="I344" s="291">
        <f t="shared" si="94"/>
        <v>0</v>
      </c>
      <c r="J344" s="290">
        <v>10</v>
      </c>
      <c r="K344" s="291">
        <f t="shared" si="95"/>
        <v>6250</v>
      </c>
      <c r="L344" s="290"/>
      <c r="M344" s="291">
        <f t="shared" si="96"/>
        <v>0</v>
      </c>
    </row>
    <row r="345" spans="1:13" ht="15.75">
      <c r="A345" s="299" t="s">
        <v>667</v>
      </c>
      <c r="B345" s="318">
        <v>8634</v>
      </c>
      <c r="C345" s="299">
        <v>3</v>
      </c>
      <c r="D345" s="299" t="s">
        <v>376</v>
      </c>
      <c r="E345" s="291">
        <f t="shared" si="92"/>
        <v>25902</v>
      </c>
      <c r="F345" s="299">
        <v>3</v>
      </c>
      <c r="G345" s="291">
        <f t="shared" si="93"/>
        <v>25902</v>
      </c>
      <c r="H345" s="299"/>
      <c r="I345" s="291">
        <f t="shared" si="94"/>
        <v>0</v>
      </c>
      <c r="J345" s="299"/>
      <c r="K345" s="291">
        <f t="shared" si="95"/>
        <v>0</v>
      </c>
      <c r="L345" s="299"/>
      <c r="M345" s="291">
        <f t="shared" si="96"/>
        <v>0</v>
      </c>
    </row>
    <row r="346" spans="1:13" ht="15.75">
      <c r="A346" s="290" t="s">
        <v>487</v>
      </c>
      <c r="B346" s="291">
        <v>119</v>
      </c>
      <c r="C346" s="290">
        <v>10</v>
      </c>
      <c r="D346" s="290" t="s">
        <v>378</v>
      </c>
      <c r="E346" s="291">
        <f t="shared" si="92"/>
        <v>1190</v>
      </c>
      <c r="F346" s="290"/>
      <c r="G346" s="291">
        <f t="shared" si="93"/>
        <v>0</v>
      </c>
      <c r="H346" s="290"/>
      <c r="I346" s="291">
        <f t="shared" si="94"/>
        <v>0</v>
      </c>
      <c r="J346" s="290">
        <v>10</v>
      </c>
      <c r="K346" s="291">
        <f t="shared" si="95"/>
        <v>1190</v>
      </c>
      <c r="L346" s="290"/>
      <c r="M346" s="291">
        <f t="shared" si="96"/>
        <v>0</v>
      </c>
    </row>
    <row r="347" spans="1:13" ht="15.75">
      <c r="A347" s="290" t="s">
        <v>488</v>
      </c>
      <c r="B347" s="291">
        <v>319</v>
      </c>
      <c r="C347" s="290">
        <v>20</v>
      </c>
      <c r="D347" s="290" t="s">
        <v>378</v>
      </c>
      <c r="E347" s="291">
        <f t="shared" si="92"/>
        <v>6380</v>
      </c>
      <c r="F347" s="290">
        <v>10</v>
      </c>
      <c r="G347" s="291">
        <f t="shared" si="93"/>
        <v>3190</v>
      </c>
      <c r="H347" s="290"/>
      <c r="I347" s="291">
        <f t="shared" si="94"/>
        <v>0</v>
      </c>
      <c r="J347" s="290">
        <v>10</v>
      </c>
      <c r="K347" s="291">
        <f t="shared" si="95"/>
        <v>3190</v>
      </c>
      <c r="L347" s="290"/>
      <c r="M347" s="291">
        <f t="shared" si="96"/>
        <v>0</v>
      </c>
    </row>
    <row r="348" spans="1:13" ht="15.75">
      <c r="A348" s="290" t="s">
        <v>489</v>
      </c>
      <c r="B348" s="291">
        <v>680</v>
      </c>
      <c r="C348" s="290">
        <v>500</v>
      </c>
      <c r="D348" s="290" t="s">
        <v>378</v>
      </c>
      <c r="E348" s="291">
        <f t="shared" si="92"/>
        <v>340000</v>
      </c>
      <c r="F348" s="290">
        <v>200</v>
      </c>
      <c r="G348" s="291">
        <f t="shared" si="93"/>
        <v>136000</v>
      </c>
      <c r="H348" s="290"/>
      <c r="I348" s="291">
        <f t="shared" si="94"/>
        <v>0</v>
      </c>
      <c r="J348" s="290">
        <v>200</v>
      </c>
      <c r="K348" s="291">
        <f t="shared" si="95"/>
        <v>136000</v>
      </c>
      <c r="L348" s="290">
        <v>100</v>
      </c>
      <c r="M348" s="291">
        <f t="shared" si="96"/>
        <v>68000</v>
      </c>
    </row>
    <row r="349" spans="1:13" ht="15.75">
      <c r="A349" s="290" t="s">
        <v>490</v>
      </c>
      <c r="B349" s="291">
        <v>1201</v>
      </c>
      <c r="C349" s="290">
        <v>10</v>
      </c>
      <c r="D349" s="290" t="s">
        <v>378</v>
      </c>
      <c r="E349" s="291">
        <f t="shared" si="92"/>
        <v>12010</v>
      </c>
      <c r="F349" s="290">
        <v>10</v>
      </c>
      <c r="G349" s="291">
        <f t="shared" si="93"/>
        <v>12010</v>
      </c>
      <c r="H349" s="290"/>
      <c r="I349" s="291">
        <f t="shared" si="94"/>
        <v>0</v>
      </c>
      <c r="J349" s="290"/>
      <c r="K349" s="291">
        <f t="shared" si="95"/>
        <v>0</v>
      </c>
      <c r="L349" s="290"/>
      <c r="M349" s="291">
        <f t="shared" si="96"/>
        <v>0</v>
      </c>
    </row>
    <row r="350" spans="1:13" ht="15.75">
      <c r="A350" s="290" t="s">
        <v>491</v>
      </c>
      <c r="B350" s="291">
        <v>1963</v>
      </c>
      <c r="C350" s="290">
        <v>10</v>
      </c>
      <c r="D350" s="290" t="s">
        <v>378</v>
      </c>
      <c r="E350" s="291">
        <f t="shared" si="92"/>
        <v>19630</v>
      </c>
      <c r="F350" s="290">
        <v>10</v>
      </c>
      <c r="G350" s="291">
        <f t="shared" si="93"/>
        <v>19630</v>
      </c>
      <c r="H350" s="290"/>
      <c r="I350" s="291">
        <f t="shared" si="94"/>
        <v>0</v>
      </c>
      <c r="J350" s="290"/>
      <c r="K350" s="291">
        <f t="shared" si="95"/>
        <v>0</v>
      </c>
      <c r="L350" s="290"/>
      <c r="M350" s="291">
        <f t="shared" si="96"/>
        <v>0</v>
      </c>
    </row>
    <row r="351" spans="1:13" ht="15.75">
      <c r="A351" s="290" t="s">
        <v>492</v>
      </c>
      <c r="B351" s="291">
        <v>4168</v>
      </c>
      <c r="C351" s="290">
        <v>5</v>
      </c>
      <c r="D351" s="290" t="s">
        <v>378</v>
      </c>
      <c r="E351" s="291">
        <f t="shared" si="92"/>
        <v>20840</v>
      </c>
      <c r="F351" s="290">
        <v>5</v>
      </c>
      <c r="G351" s="291">
        <f t="shared" si="93"/>
        <v>20840</v>
      </c>
      <c r="H351" s="290"/>
      <c r="I351" s="291">
        <f t="shared" si="94"/>
        <v>0</v>
      </c>
      <c r="J351" s="290"/>
      <c r="K351" s="291">
        <f t="shared" si="95"/>
        <v>0</v>
      </c>
      <c r="L351" s="290"/>
      <c r="M351" s="291">
        <f t="shared" si="96"/>
        <v>0</v>
      </c>
    </row>
    <row r="352" spans="1:13" ht="15.75">
      <c r="A352" s="290" t="s">
        <v>493</v>
      </c>
      <c r="B352" s="291">
        <v>1300</v>
      </c>
      <c r="C352" s="290">
        <v>30</v>
      </c>
      <c r="D352" s="290" t="s">
        <v>378</v>
      </c>
      <c r="E352" s="291">
        <f t="shared" si="92"/>
        <v>39000</v>
      </c>
      <c r="F352" s="290">
        <v>15</v>
      </c>
      <c r="G352" s="291">
        <f t="shared" si="93"/>
        <v>19500</v>
      </c>
      <c r="H352" s="290"/>
      <c r="I352" s="291">
        <f t="shared" si="94"/>
        <v>0</v>
      </c>
      <c r="J352" s="290">
        <v>15</v>
      </c>
      <c r="K352" s="291">
        <f t="shared" si="95"/>
        <v>19500</v>
      </c>
      <c r="L352" s="290"/>
      <c r="M352" s="291">
        <f t="shared" si="96"/>
        <v>0</v>
      </c>
    </row>
    <row r="353" spans="1:13" ht="15.75">
      <c r="A353" s="290" t="s">
        <v>668</v>
      </c>
      <c r="B353" s="309">
        <v>49426</v>
      </c>
      <c r="C353" s="290">
        <v>1</v>
      </c>
      <c r="D353" s="290" t="s">
        <v>376</v>
      </c>
      <c r="E353" s="291">
        <f t="shared" si="92"/>
        <v>49426</v>
      </c>
      <c r="F353" s="290"/>
      <c r="G353" s="291">
        <f t="shared" si="93"/>
        <v>0</v>
      </c>
      <c r="H353" s="290">
        <v>1</v>
      </c>
      <c r="I353" s="291">
        <f t="shared" si="94"/>
        <v>49426</v>
      </c>
      <c r="J353" s="290"/>
      <c r="K353" s="291">
        <f t="shared" si="95"/>
        <v>0</v>
      </c>
      <c r="L353" s="290"/>
      <c r="M353" s="291">
        <f t="shared" si="96"/>
        <v>0</v>
      </c>
    </row>
    <row r="354" spans="1:13" ht="15.75">
      <c r="A354" s="290" t="s">
        <v>669</v>
      </c>
      <c r="B354" s="309">
        <v>65400</v>
      </c>
      <c r="C354" s="290">
        <v>1</v>
      </c>
      <c r="D354" s="290" t="s">
        <v>376</v>
      </c>
      <c r="E354" s="291">
        <f t="shared" si="92"/>
        <v>65400</v>
      </c>
      <c r="F354" s="290"/>
      <c r="G354" s="291">
        <f t="shared" si="93"/>
        <v>0</v>
      </c>
      <c r="H354" s="290">
        <v>1</v>
      </c>
      <c r="I354" s="291">
        <f t="shared" si="94"/>
        <v>65400</v>
      </c>
      <c r="J354" s="290"/>
      <c r="K354" s="291">
        <f t="shared" si="95"/>
        <v>0</v>
      </c>
      <c r="L354" s="290"/>
      <c r="M354" s="291">
        <f t="shared" si="96"/>
        <v>0</v>
      </c>
    </row>
    <row r="355" spans="1:13" ht="15.75">
      <c r="A355" s="290" t="s">
        <v>670</v>
      </c>
      <c r="B355" s="309">
        <v>72346</v>
      </c>
      <c r="C355" s="290">
        <v>1</v>
      </c>
      <c r="D355" s="290" t="s">
        <v>376</v>
      </c>
      <c r="E355" s="291">
        <f t="shared" ref="E355:E356" si="97">B355*C355</f>
        <v>72346</v>
      </c>
      <c r="F355" s="290"/>
      <c r="G355" s="291">
        <f t="shared" si="93"/>
        <v>0</v>
      </c>
      <c r="H355" s="290">
        <v>1</v>
      </c>
      <c r="I355" s="291">
        <f t="shared" si="94"/>
        <v>72346</v>
      </c>
      <c r="J355" s="290"/>
      <c r="K355" s="291">
        <f t="shared" si="95"/>
        <v>0</v>
      </c>
      <c r="L355" s="290"/>
      <c r="M355" s="291">
        <f t="shared" si="96"/>
        <v>0</v>
      </c>
    </row>
    <row r="356" spans="1:13" ht="15.75">
      <c r="A356" s="290" t="s">
        <v>494</v>
      </c>
      <c r="B356" s="309">
        <v>2860</v>
      </c>
      <c r="C356" s="290">
        <v>4</v>
      </c>
      <c r="D356" s="290" t="s">
        <v>378</v>
      </c>
      <c r="E356" s="291">
        <f t="shared" si="97"/>
        <v>11440</v>
      </c>
      <c r="F356" s="290">
        <v>2</v>
      </c>
      <c r="G356" s="291">
        <f t="shared" si="93"/>
        <v>5720</v>
      </c>
      <c r="H356" s="290"/>
      <c r="I356" s="291">
        <f t="shared" si="94"/>
        <v>0</v>
      </c>
      <c r="J356" s="290">
        <v>2</v>
      </c>
      <c r="K356" s="291">
        <f t="shared" si="95"/>
        <v>5720</v>
      </c>
      <c r="L356" s="290"/>
      <c r="M356" s="291">
        <f t="shared" si="96"/>
        <v>0</v>
      </c>
    </row>
    <row r="357" spans="1:13" ht="15.75">
      <c r="A357" s="288"/>
      <c r="B357" s="288"/>
      <c r="C357" s="366" t="s">
        <v>377</v>
      </c>
      <c r="D357" s="366"/>
      <c r="E357" s="292">
        <f>SUM(E279:E356)</f>
        <v>1335837</v>
      </c>
      <c r="F357" s="288"/>
      <c r="G357" s="292">
        <f>SUM(G279:G356)</f>
        <v>376087</v>
      </c>
      <c r="H357" s="287"/>
      <c r="I357" s="292">
        <f>SUM(I279:I356)</f>
        <v>380872</v>
      </c>
      <c r="J357" s="287"/>
      <c r="K357" s="292">
        <f>SUM(K279:K356)</f>
        <v>351596</v>
      </c>
      <c r="L357" s="287"/>
      <c r="M357" s="292">
        <f>SUM(M355:M356)</f>
        <v>0</v>
      </c>
    </row>
    <row r="358" spans="1:13" ht="12" customHeight="1">
      <c r="A358" s="287" t="s">
        <v>495</v>
      </c>
      <c r="B358" s="288"/>
      <c r="C358" s="288"/>
      <c r="D358" s="288"/>
      <c r="E358" s="293"/>
      <c r="F358" s="288"/>
      <c r="G358" s="288"/>
      <c r="H358" s="288"/>
      <c r="I358" s="288"/>
      <c r="J358" s="288"/>
      <c r="K358" s="288"/>
      <c r="L358" s="288"/>
      <c r="M358" s="288"/>
    </row>
    <row r="359" spans="1:13" ht="15.75">
      <c r="A359" s="369" t="s">
        <v>360</v>
      </c>
      <c r="B359" s="369" t="s">
        <v>361</v>
      </c>
      <c r="C359" s="369" t="s">
        <v>362</v>
      </c>
      <c r="D359" s="369" t="s">
        <v>363</v>
      </c>
      <c r="E359" s="369" t="s">
        <v>364</v>
      </c>
      <c r="F359" s="365" t="s">
        <v>365</v>
      </c>
      <c r="G359" s="365"/>
      <c r="H359" s="365" t="s">
        <v>366</v>
      </c>
      <c r="I359" s="365"/>
      <c r="J359" s="365" t="s">
        <v>367</v>
      </c>
      <c r="K359" s="365"/>
      <c r="L359" s="365" t="s">
        <v>368</v>
      </c>
      <c r="M359" s="365"/>
    </row>
    <row r="360" spans="1:13" ht="15.75">
      <c r="A360" s="370"/>
      <c r="B360" s="370"/>
      <c r="C360" s="370"/>
      <c r="D360" s="370"/>
      <c r="E360" s="370"/>
      <c r="F360" s="289" t="s">
        <v>369</v>
      </c>
      <c r="G360" s="289" t="s">
        <v>370</v>
      </c>
      <c r="H360" s="289" t="s">
        <v>369</v>
      </c>
      <c r="I360" s="289" t="s">
        <v>370</v>
      </c>
      <c r="J360" s="289" t="s">
        <v>369</v>
      </c>
      <c r="K360" s="289" t="s">
        <v>370</v>
      </c>
      <c r="L360" s="289" t="s">
        <v>369</v>
      </c>
      <c r="M360" s="289" t="s">
        <v>370</v>
      </c>
    </row>
    <row r="361" spans="1:13" ht="15.75">
      <c r="A361" s="290" t="s">
        <v>553</v>
      </c>
      <c r="B361" s="291">
        <v>184</v>
      </c>
      <c r="C361" s="290">
        <v>540</v>
      </c>
      <c r="D361" s="290" t="s">
        <v>398</v>
      </c>
      <c r="E361" s="291">
        <f t="shared" ref="E361:E362" si="98">B361*C361</f>
        <v>99360</v>
      </c>
      <c r="F361" s="290">
        <v>135</v>
      </c>
      <c r="G361" s="291">
        <f t="shared" ref="G361:G362" si="99">B361*F361</f>
        <v>24840</v>
      </c>
      <c r="H361" s="290">
        <v>135</v>
      </c>
      <c r="I361" s="291">
        <f t="shared" ref="I361:I362" si="100">B361*H361</f>
        <v>24840</v>
      </c>
      <c r="J361" s="290">
        <v>135</v>
      </c>
      <c r="K361" s="291">
        <f t="shared" ref="K361:K362" si="101">B361*J361</f>
        <v>24840</v>
      </c>
      <c r="L361" s="290">
        <v>135</v>
      </c>
      <c r="M361" s="291">
        <f t="shared" ref="M361:M362" si="102">B361*L361</f>
        <v>24840</v>
      </c>
    </row>
    <row r="362" spans="1:13" ht="15.75">
      <c r="A362" s="290" t="s">
        <v>496</v>
      </c>
      <c r="B362" s="291">
        <v>40</v>
      </c>
      <c r="C362" s="290">
        <v>800</v>
      </c>
      <c r="D362" s="290" t="s">
        <v>671</v>
      </c>
      <c r="E362" s="291">
        <f t="shared" si="98"/>
        <v>32000</v>
      </c>
      <c r="F362" s="290">
        <v>400</v>
      </c>
      <c r="G362" s="291">
        <f t="shared" si="99"/>
        <v>16000</v>
      </c>
      <c r="H362" s="290"/>
      <c r="I362" s="291">
        <f t="shared" si="100"/>
        <v>0</v>
      </c>
      <c r="J362" s="290">
        <v>400</v>
      </c>
      <c r="K362" s="291">
        <f t="shared" si="101"/>
        <v>16000</v>
      </c>
      <c r="L362" s="290"/>
      <c r="M362" s="291">
        <f t="shared" si="102"/>
        <v>0</v>
      </c>
    </row>
    <row r="363" spans="1:13" ht="15.75">
      <c r="A363" s="288"/>
      <c r="B363" s="288"/>
      <c r="C363" s="368" t="s">
        <v>377</v>
      </c>
      <c r="D363" s="368"/>
      <c r="E363" s="292">
        <f>SUM(E361:E362)</f>
        <v>131360</v>
      </c>
      <c r="F363" s="288"/>
      <c r="G363" s="292">
        <f>SUM(G361:G362)</f>
        <v>40840</v>
      </c>
      <c r="H363" s="287"/>
      <c r="I363" s="292">
        <f>SUM(I361:I362)</f>
        <v>24840</v>
      </c>
      <c r="J363" s="287"/>
      <c r="K363" s="292">
        <f>SUM(K361:K362)</f>
        <v>40840</v>
      </c>
      <c r="L363" s="287"/>
      <c r="M363" s="292">
        <f>SUM(M361:M362)</f>
        <v>24840</v>
      </c>
    </row>
    <row r="364" spans="1:13" ht="15.75">
      <c r="A364" s="287" t="s">
        <v>672</v>
      </c>
      <c r="B364" s="288"/>
      <c r="C364" s="288"/>
      <c r="D364" s="288"/>
      <c r="E364" s="293"/>
      <c r="F364" s="288"/>
      <c r="G364" s="288"/>
      <c r="H364" s="288"/>
      <c r="I364" s="288"/>
      <c r="J364" s="288"/>
      <c r="K364" s="288"/>
      <c r="L364" s="288"/>
      <c r="M364" s="288"/>
    </row>
    <row r="365" spans="1:13" ht="15.75">
      <c r="A365" s="369" t="s">
        <v>360</v>
      </c>
      <c r="B365" s="369" t="s">
        <v>361</v>
      </c>
      <c r="C365" s="369" t="s">
        <v>362</v>
      </c>
      <c r="D365" s="369" t="s">
        <v>363</v>
      </c>
      <c r="E365" s="369" t="s">
        <v>364</v>
      </c>
      <c r="F365" s="365" t="s">
        <v>365</v>
      </c>
      <c r="G365" s="365"/>
      <c r="H365" s="365" t="s">
        <v>366</v>
      </c>
      <c r="I365" s="365"/>
      <c r="J365" s="365" t="s">
        <v>367</v>
      </c>
      <c r="K365" s="365"/>
      <c r="L365" s="365" t="s">
        <v>368</v>
      </c>
      <c r="M365" s="365"/>
    </row>
    <row r="366" spans="1:13" ht="15.75">
      <c r="A366" s="370"/>
      <c r="B366" s="370"/>
      <c r="C366" s="370"/>
      <c r="D366" s="370"/>
      <c r="E366" s="370"/>
      <c r="F366" s="289" t="s">
        <v>369</v>
      </c>
      <c r="G366" s="289" t="s">
        <v>370</v>
      </c>
      <c r="H366" s="289" t="s">
        <v>369</v>
      </c>
      <c r="I366" s="289" t="s">
        <v>370</v>
      </c>
      <c r="J366" s="289" t="s">
        <v>369</v>
      </c>
      <c r="K366" s="289" t="s">
        <v>370</v>
      </c>
      <c r="L366" s="289" t="s">
        <v>369</v>
      </c>
      <c r="M366" s="289" t="s">
        <v>370</v>
      </c>
    </row>
    <row r="367" spans="1:13" ht="15.75">
      <c r="A367" s="290" t="s">
        <v>673</v>
      </c>
      <c r="B367" s="291">
        <v>400000</v>
      </c>
      <c r="C367" s="290">
        <v>1</v>
      </c>
      <c r="D367" s="290" t="s">
        <v>566</v>
      </c>
      <c r="E367" s="291">
        <f>B367*C367</f>
        <v>400000</v>
      </c>
      <c r="F367" s="290">
        <v>1</v>
      </c>
      <c r="G367" s="291">
        <f>B367*F367</f>
        <v>400000</v>
      </c>
      <c r="H367" s="290"/>
      <c r="I367" s="291">
        <f>B367*H367</f>
        <v>0</v>
      </c>
      <c r="J367" s="290"/>
      <c r="K367" s="291">
        <f>B367*J367</f>
        <v>0</v>
      </c>
      <c r="L367" s="290"/>
      <c r="M367" s="291">
        <f>B367*L367</f>
        <v>0</v>
      </c>
    </row>
    <row r="368" spans="1:13" ht="15.75">
      <c r="A368" s="288"/>
      <c r="B368" s="288"/>
      <c r="C368" s="368" t="s">
        <v>377</v>
      </c>
      <c r="D368" s="368"/>
      <c r="E368" s="292">
        <f>SUM(E366:E367)</f>
        <v>400000</v>
      </c>
      <c r="F368" s="288"/>
      <c r="G368" s="292">
        <f>SUM(G366:G367)</f>
        <v>400000</v>
      </c>
      <c r="H368" s="287"/>
      <c r="I368" s="292">
        <f>SUM(I366:I367)</f>
        <v>0</v>
      </c>
      <c r="J368" s="287"/>
      <c r="K368" s="292">
        <f>SUM(K366:K367)</f>
        <v>0</v>
      </c>
      <c r="L368" s="287"/>
      <c r="M368" s="292">
        <f>SUM(M366:M367)</f>
        <v>0</v>
      </c>
    </row>
    <row r="369" spans="1:13" ht="15.75">
      <c r="A369" s="315" t="s">
        <v>674</v>
      </c>
      <c r="B369" s="316"/>
      <c r="C369" s="303"/>
      <c r="D369" s="303"/>
      <c r="E369" s="316"/>
      <c r="F369" s="303"/>
      <c r="G369" s="316"/>
      <c r="H369" s="303"/>
      <c r="I369" s="316"/>
      <c r="J369" s="303"/>
      <c r="K369" s="316"/>
      <c r="L369" s="303"/>
      <c r="M369" s="316"/>
    </row>
    <row r="370" spans="1:13" ht="15.75">
      <c r="A370" s="369" t="s">
        <v>360</v>
      </c>
      <c r="B370" s="369" t="s">
        <v>361</v>
      </c>
      <c r="C370" s="369" t="s">
        <v>362</v>
      </c>
      <c r="D370" s="369" t="s">
        <v>363</v>
      </c>
      <c r="E370" s="369" t="s">
        <v>364</v>
      </c>
      <c r="F370" s="365" t="s">
        <v>365</v>
      </c>
      <c r="G370" s="365"/>
      <c r="H370" s="365" t="s">
        <v>366</v>
      </c>
      <c r="I370" s="365"/>
      <c r="J370" s="365" t="s">
        <v>367</v>
      </c>
      <c r="K370" s="365"/>
      <c r="L370" s="365" t="s">
        <v>368</v>
      </c>
      <c r="M370" s="365"/>
    </row>
    <row r="371" spans="1:13" ht="15.75">
      <c r="A371" s="370"/>
      <c r="B371" s="370"/>
      <c r="C371" s="370"/>
      <c r="D371" s="370"/>
      <c r="E371" s="370"/>
      <c r="F371" s="289" t="s">
        <v>369</v>
      </c>
      <c r="G371" s="289" t="s">
        <v>370</v>
      </c>
      <c r="H371" s="289" t="s">
        <v>369</v>
      </c>
      <c r="I371" s="289" t="s">
        <v>370</v>
      </c>
      <c r="J371" s="289" t="s">
        <v>369</v>
      </c>
      <c r="K371" s="289" t="s">
        <v>370</v>
      </c>
      <c r="L371" s="289" t="s">
        <v>369</v>
      </c>
      <c r="M371" s="289" t="s">
        <v>370</v>
      </c>
    </row>
    <row r="372" spans="1:13" ht="15.75">
      <c r="A372" s="290" t="s">
        <v>675</v>
      </c>
      <c r="B372" s="291">
        <v>200</v>
      </c>
      <c r="C372" s="290">
        <v>20</v>
      </c>
      <c r="D372" s="290" t="s">
        <v>378</v>
      </c>
      <c r="E372" s="291">
        <f>B372*C372</f>
        <v>4000</v>
      </c>
      <c r="F372" s="290">
        <v>5</v>
      </c>
      <c r="G372" s="291">
        <f>B372*F372</f>
        <v>1000</v>
      </c>
      <c r="H372" s="290">
        <v>5</v>
      </c>
      <c r="I372" s="291">
        <f>B372*H372</f>
        <v>1000</v>
      </c>
      <c r="J372" s="290">
        <v>5</v>
      </c>
      <c r="K372" s="291">
        <f>B372*J372</f>
        <v>1000</v>
      </c>
      <c r="L372" s="290">
        <v>5</v>
      </c>
      <c r="M372" s="291">
        <f>B372*L372</f>
        <v>1000</v>
      </c>
    </row>
    <row r="373" spans="1:13" ht="15.75">
      <c r="A373" s="290" t="s">
        <v>676</v>
      </c>
      <c r="B373" s="291">
        <v>3500</v>
      </c>
      <c r="C373" s="290">
        <v>1</v>
      </c>
      <c r="D373" s="290" t="s">
        <v>376</v>
      </c>
      <c r="E373" s="291">
        <f t="shared" ref="E373:E378" si="103">B373*C373</f>
        <v>3500</v>
      </c>
      <c r="F373" s="290">
        <v>1</v>
      </c>
      <c r="G373" s="291">
        <f t="shared" ref="G373:G378" si="104">B373*F373</f>
        <v>3500</v>
      </c>
      <c r="H373" s="290"/>
      <c r="I373" s="291">
        <f t="shared" ref="I373:I378" si="105">B373*H373</f>
        <v>0</v>
      </c>
      <c r="J373" s="290"/>
      <c r="K373" s="291">
        <f t="shared" ref="K373:K378" si="106">B373*J373</f>
        <v>0</v>
      </c>
      <c r="L373" s="290"/>
      <c r="M373" s="291">
        <f t="shared" ref="M373:M378" si="107">B373*L373</f>
        <v>0</v>
      </c>
    </row>
    <row r="374" spans="1:13" ht="15.75">
      <c r="A374" s="290" t="s">
        <v>677</v>
      </c>
      <c r="B374" s="291">
        <v>1200</v>
      </c>
      <c r="C374" s="290">
        <v>1</v>
      </c>
      <c r="D374" s="290" t="s">
        <v>376</v>
      </c>
      <c r="E374" s="291">
        <f t="shared" si="103"/>
        <v>1200</v>
      </c>
      <c r="F374" s="290">
        <v>1</v>
      </c>
      <c r="G374" s="291">
        <f t="shared" si="104"/>
        <v>1200</v>
      </c>
      <c r="H374" s="290"/>
      <c r="I374" s="291">
        <f t="shared" si="105"/>
        <v>0</v>
      </c>
      <c r="J374" s="290"/>
      <c r="K374" s="291">
        <f t="shared" si="106"/>
        <v>0</v>
      </c>
      <c r="L374" s="290"/>
      <c r="M374" s="291">
        <f t="shared" si="107"/>
        <v>0</v>
      </c>
    </row>
    <row r="375" spans="1:13" ht="15.75">
      <c r="A375" s="290" t="s">
        <v>678</v>
      </c>
      <c r="B375" s="291">
        <v>25000</v>
      </c>
      <c r="C375" s="290">
        <v>1</v>
      </c>
      <c r="D375" s="290" t="s">
        <v>376</v>
      </c>
      <c r="E375" s="291">
        <f t="shared" si="103"/>
        <v>25000</v>
      </c>
      <c r="F375" s="290">
        <v>1</v>
      </c>
      <c r="G375" s="291">
        <f t="shared" si="104"/>
        <v>25000</v>
      </c>
      <c r="H375" s="290"/>
      <c r="I375" s="291">
        <f t="shared" si="105"/>
        <v>0</v>
      </c>
      <c r="J375" s="290"/>
      <c r="K375" s="291">
        <f t="shared" si="106"/>
        <v>0</v>
      </c>
      <c r="L375" s="290"/>
      <c r="M375" s="291">
        <f t="shared" si="107"/>
        <v>0</v>
      </c>
    </row>
    <row r="376" spans="1:13" ht="15.75">
      <c r="A376" s="290" t="s">
        <v>679</v>
      </c>
      <c r="B376" s="291">
        <v>2500</v>
      </c>
      <c r="C376" s="290">
        <v>6</v>
      </c>
      <c r="D376" s="290" t="s">
        <v>378</v>
      </c>
      <c r="E376" s="291">
        <f t="shared" si="103"/>
        <v>15000</v>
      </c>
      <c r="F376" s="290">
        <v>6</v>
      </c>
      <c r="G376" s="291">
        <f t="shared" si="104"/>
        <v>15000</v>
      </c>
      <c r="H376" s="290"/>
      <c r="I376" s="291">
        <f t="shared" si="105"/>
        <v>0</v>
      </c>
      <c r="J376" s="290"/>
      <c r="K376" s="291">
        <f t="shared" si="106"/>
        <v>0</v>
      </c>
      <c r="L376" s="290"/>
      <c r="M376" s="291">
        <f t="shared" si="107"/>
        <v>0</v>
      </c>
    </row>
    <row r="377" spans="1:13" ht="15.75">
      <c r="A377" s="290" t="s">
        <v>680</v>
      </c>
      <c r="B377" s="291">
        <v>2500</v>
      </c>
      <c r="C377" s="290">
        <v>2</v>
      </c>
      <c r="D377" s="290" t="s">
        <v>378</v>
      </c>
      <c r="E377" s="291">
        <f t="shared" si="103"/>
        <v>5000</v>
      </c>
      <c r="F377" s="290">
        <v>2</v>
      </c>
      <c r="G377" s="291">
        <f t="shared" si="104"/>
        <v>5000</v>
      </c>
      <c r="H377" s="290"/>
      <c r="I377" s="291">
        <f t="shared" si="105"/>
        <v>0</v>
      </c>
      <c r="J377" s="290"/>
      <c r="K377" s="291">
        <f t="shared" si="106"/>
        <v>0</v>
      </c>
      <c r="L377" s="290"/>
      <c r="M377" s="291">
        <f t="shared" si="107"/>
        <v>0</v>
      </c>
    </row>
    <row r="378" spans="1:13" ht="15.75">
      <c r="A378" s="290" t="s">
        <v>681</v>
      </c>
      <c r="B378" s="291">
        <v>45000</v>
      </c>
      <c r="C378" s="290">
        <v>1</v>
      </c>
      <c r="D378" s="290" t="s">
        <v>376</v>
      </c>
      <c r="E378" s="291">
        <f t="shared" si="103"/>
        <v>45000</v>
      </c>
      <c r="F378" s="290">
        <v>1</v>
      </c>
      <c r="G378" s="291">
        <f t="shared" si="104"/>
        <v>45000</v>
      </c>
      <c r="H378" s="290"/>
      <c r="I378" s="291">
        <f t="shared" si="105"/>
        <v>0</v>
      </c>
      <c r="J378" s="290"/>
      <c r="K378" s="291">
        <f t="shared" si="106"/>
        <v>0</v>
      </c>
      <c r="L378" s="290"/>
      <c r="M378" s="291">
        <f t="shared" si="107"/>
        <v>0</v>
      </c>
    </row>
    <row r="379" spans="1:13" ht="15.75">
      <c r="A379" s="303"/>
      <c r="B379" s="303"/>
      <c r="C379" s="366" t="s">
        <v>377</v>
      </c>
      <c r="D379" s="366"/>
      <c r="E379" s="314">
        <f>SUM(E372:E378)</f>
        <v>98700</v>
      </c>
      <c r="F379" s="303"/>
      <c r="G379" s="314">
        <f>SUM(G372:G378)</f>
        <v>95700</v>
      </c>
      <c r="H379" s="315"/>
      <c r="I379" s="314">
        <f>SUM(I372:I378)</f>
        <v>1000</v>
      </c>
      <c r="J379" s="315"/>
      <c r="K379" s="314">
        <f>SUM(K372:K378)</f>
        <v>1000</v>
      </c>
      <c r="L379" s="315"/>
      <c r="M379" s="314">
        <f>SUM(M372:M378)</f>
        <v>1000</v>
      </c>
    </row>
    <row r="380" spans="1:13" ht="15.75">
      <c r="A380" s="303"/>
      <c r="B380" s="303"/>
      <c r="C380" s="367" t="s">
        <v>516</v>
      </c>
      <c r="D380" s="367"/>
      <c r="E380" s="314">
        <f>E14+E65+E74+E113+E124+E151+E156+E167+E186+E196+E229+E274+E357+E363+E368+E379</f>
        <v>6227565</v>
      </c>
      <c r="F380" s="303"/>
      <c r="G380" s="314">
        <f>G14+G65+G74+G113+G124+G151+G156+G167+G186+G196+G229+G274+G357+G363+G368+G379</f>
        <v>2388703</v>
      </c>
      <c r="H380" s="303"/>
      <c r="I380" s="314">
        <f>I14+I65+I74+I113+I124+I151+I156+I167+I186+I196+I229+I274+I357+I363+I368+I379</f>
        <v>2253009</v>
      </c>
      <c r="J380" s="303"/>
      <c r="K380" s="314">
        <f>K14+K65+K74+K113+K124+K151+K156+K167+K186+K196+K229+K274+K357+K363+K368+K379</f>
        <v>1001860</v>
      </c>
      <c r="L380" s="303"/>
      <c r="M380" s="314">
        <f>M14+M65+M74+M113+M124+M151+M156+M167+M186+M196+M229+M274+M357+M363+M368+M379</f>
        <v>356711</v>
      </c>
    </row>
    <row r="381" spans="1:13" ht="15.75">
      <c r="A381" s="303"/>
      <c r="B381" s="303"/>
      <c r="C381" s="304"/>
      <c r="D381" s="304"/>
      <c r="E381" s="314"/>
      <c r="F381" s="303"/>
      <c r="G381" s="316"/>
      <c r="H381" s="303"/>
      <c r="I381" s="316"/>
      <c r="J381" s="303"/>
      <c r="K381" s="316"/>
      <c r="L381" s="303"/>
      <c r="M381" s="316"/>
    </row>
    <row r="382" spans="1:13" ht="15.75">
      <c r="A382" s="303"/>
      <c r="B382" s="303"/>
      <c r="C382" s="304"/>
      <c r="D382" s="304"/>
      <c r="E382" s="314"/>
      <c r="F382" s="303"/>
      <c r="G382" s="303"/>
      <c r="H382" s="303"/>
      <c r="I382" s="303"/>
      <c r="J382" s="303"/>
      <c r="K382" s="303"/>
      <c r="L382" s="303"/>
      <c r="M382" s="303"/>
    </row>
    <row r="383" spans="1:13" ht="15.75">
      <c r="A383" s="288"/>
      <c r="B383" s="303"/>
      <c r="C383" s="303"/>
      <c r="D383" s="303"/>
      <c r="E383" s="316"/>
      <c r="F383" s="303"/>
      <c r="G383" s="303"/>
      <c r="H383" s="303"/>
      <c r="I383" s="288"/>
      <c r="J383" s="303"/>
      <c r="K383" s="303"/>
      <c r="L383" s="303"/>
      <c r="M383" s="303"/>
    </row>
    <row r="384" spans="1:13" ht="15.75">
      <c r="A384" s="288"/>
      <c r="B384" s="319" t="s">
        <v>518</v>
      </c>
      <c r="C384" s="303"/>
      <c r="D384" s="303"/>
      <c r="E384" s="316"/>
      <c r="F384" s="303"/>
      <c r="G384" s="303"/>
      <c r="H384" s="303"/>
      <c r="I384" s="288"/>
      <c r="J384" s="319" t="s">
        <v>519</v>
      </c>
      <c r="K384" s="303"/>
      <c r="L384" s="303"/>
      <c r="M384" s="303"/>
    </row>
    <row r="385" spans="1:13" ht="15.75">
      <c r="A385" s="288"/>
      <c r="B385" s="288" t="s">
        <v>682</v>
      </c>
      <c r="C385" s="320"/>
      <c r="D385" s="320"/>
      <c r="E385" s="316"/>
      <c r="F385" s="288"/>
      <c r="G385" s="288"/>
      <c r="H385" s="288"/>
      <c r="I385" s="288"/>
      <c r="J385" s="10" t="s">
        <v>756</v>
      </c>
      <c r="K385" s="288"/>
      <c r="L385" s="288"/>
      <c r="M385" s="288"/>
    </row>
  </sheetData>
  <mergeCells count="163">
    <mergeCell ref="A1:M1"/>
    <mergeCell ref="A2:M2"/>
    <mergeCell ref="A6:A7"/>
    <mergeCell ref="B6:B7"/>
    <mergeCell ref="C6:C7"/>
    <mergeCell ref="D6:D7"/>
    <mergeCell ref="E6:E7"/>
    <mergeCell ref="F6:G6"/>
    <mergeCell ref="H6:I6"/>
    <mergeCell ref="J6:K6"/>
    <mergeCell ref="L16:M16"/>
    <mergeCell ref="L6:M6"/>
    <mergeCell ref="C14:D14"/>
    <mergeCell ref="A16:A17"/>
    <mergeCell ref="B16:B17"/>
    <mergeCell ref="C16:C17"/>
    <mergeCell ref="D16:D17"/>
    <mergeCell ref="E16:E17"/>
    <mergeCell ref="F16:G16"/>
    <mergeCell ref="H16:I16"/>
    <mergeCell ref="J16:K16"/>
    <mergeCell ref="C65:D65"/>
    <mergeCell ref="A69:A70"/>
    <mergeCell ref="B69:B70"/>
    <mergeCell ref="C69:C70"/>
    <mergeCell ref="D69:D70"/>
    <mergeCell ref="E69:E70"/>
    <mergeCell ref="F69:G69"/>
    <mergeCell ref="H69:I69"/>
    <mergeCell ref="J69:K69"/>
    <mergeCell ref="L76:M76"/>
    <mergeCell ref="L69:M69"/>
    <mergeCell ref="C74:D74"/>
    <mergeCell ref="A76:A77"/>
    <mergeCell ref="B76:B77"/>
    <mergeCell ref="C76:C77"/>
    <mergeCell ref="D76:D77"/>
    <mergeCell ref="E76:E77"/>
    <mergeCell ref="F76:G76"/>
    <mergeCell ref="H76:I76"/>
    <mergeCell ref="J76:K76"/>
    <mergeCell ref="C113:D113"/>
    <mergeCell ref="A118:A119"/>
    <mergeCell ref="B118:B119"/>
    <mergeCell ref="C118:C119"/>
    <mergeCell ref="D118:D119"/>
    <mergeCell ref="E118:E119"/>
    <mergeCell ref="F118:G118"/>
    <mergeCell ref="H118:I118"/>
    <mergeCell ref="J118:K118"/>
    <mergeCell ref="L126:M126"/>
    <mergeCell ref="L118:M118"/>
    <mergeCell ref="C124:D124"/>
    <mergeCell ref="A126:A127"/>
    <mergeCell ref="B126:B127"/>
    <mergeCell ref="C126:C127"/>
    <mergeCell ref="D126:D127"/>
    <mergeCell ref="E126:E127"/>
    <mergeCell ref="F126:G126"/>
    <mergeCell ref="H126:I126"/>
    <mergeCell ref="J126:K126"/>
    <mergeCell ref="C151:D151"/>
    <mergeCell ref="A153:A154"/>
    <mergeCell ref="B153:B154"/>
    <mergeCell ref="C153:C154"/>
    <mergeCell ref="D153:D154"/>
    <mergeCell ref="E153:E154"/>
    <mergeCell ref="F153:G153"/>
    <mergeCell ref="H153:I153"/>
    <mergeCell ref="J153:K153"/>
    <mergeCell ref="L158:M158"/>
    <mergeCell ref="L153:M153"/>
    <mergeCell ref="C156:D156"/>
    <mergeCell ref="A158:A159"/>
    <mergeCell ref="B158:B159"/>
    <mergeCell ref="C158:C159"/>
    <mergeCell ref="D158:D159"/>
    <mergeCell ref="E158:E159"/>
    <mergeCell ref="F158:G158"/>
    <mergeCell ref="H158:I158"/>
    <mergeCell ref="J158:K158"/>
    <mergeCell ref="C167:D167"/>
    <mergeCell ref="A169:A170"/>
    <mergeCell ref="B169:B170"/>
    <mergeCell ref="C169:C170"/>
    <mergeCell ref="D169:D170"/>
    <mergeCell ref="E169:E170"/>
    <mergeCell ref="F169:G169"/>
    <mergeCell ref="H169:I169"/>
    <mergeCell ref="J169:K169"/>
    <mergeCell ref="L169:M169"/>
    <mergeCell ref="C186:D186"/>
    <mergeCell ref="A188:A189"/>
    <mergeCell ref="B188:B189"/>
    <mergeCell ref="C188:C189"/>
    <mergeCell ref="D188:D189"/>
    <mergeCell ref="E188:E189"/>
    <mergeCell ref="F188:G188"/>
    <mergeCell ref="H188:I188"/>
    <mergeCell ref="J188:K188"/>
    <mergeCell ref="L199:M199"/>
    <mergeCell ref="L188:M188"/>
    <mergeCell ref="C196:D196"/>
    <mergeCell ref="A199:A200"/>
    <mergeCell ref="B199:B200"/>
    <mergeCell ref="C199:C200"/>
    <mergeCell ref="D199:D200"/>
    <mergeCell ref="E199:E200"/>
    <mergeCell ref="F199:G199"/>
    <mergeCell ref="H199:I199"/>
    <mergeCell ref="J199:K199"/>
    <mergeCell ref="L232:M232"/>
    <mergeCell ref="C229:D229"/>
    <mergeCell ref="A232:A233"/>
    <mergeCell ref="B232:B233"/>
    <mergeCell ref="C232:C233"/>
    <mergeCell ref="D232:D233"/>
    <mergeCell ref="E232:E233"/>
    <mergeCell ref="F232:G232"/>
    <mergeCell ref="H232:I232"/>
    <mergeCell ref="J232:K232"/>
    <mergeCell ref="L277:M277"/>
    <mergeCell ref="C274:D274"/>
    <mergeCell ref="A277:A278"/>
    <mergeCell ref="B277:B278"/>
    <mergeCell ref="C277:C278"/>
    <mergeCell ref="D277:D278"/>
    <mergeCell ref="E277:E278"/>
    <mergeCell ref="F277:G277"/>
    <mergeCell ref="H277:I277"/>
    <mergeCell ref="J277:K277"/>
    <mergeCell ref="C357:D357"/>
    <mergeCell ref="A359:A360"/>
    <mergeCell ref="B359:B360"/>
    <mergeCell ref="C359:C360"/>
    <mergeCell ref="D359:D360"/>
    <mergeCell ref="E359:E360"/>
    <mergeCell ref="F359:G359"/>
    <mergeCell ref="H359:I359"/>
    <mergeCell ref="J359:K359"/>
    <mergeCell ref="L359:M359"/>
    <mergeCell ref="C363:D363"/>
    <mergeCell ref="A365:A366"/>
    <mergeCell ref="B365:B366"/>
    <mergeCell ref="C365:C366"/>
    <mergeCell ref="D365:D366"/>
    <mergeCell ref="E365:E366"/>
    <mergeCell ref="F365:G365"/>
    <mergeCell ref="H365:I365"/>
    <mergeCell ref="J365:K365"/>
    <mergeCell ref="L370:M370"/>
    <mergeCell ref="C379:D379"/>
    <mergeCell ref="C380:D380"/>
    <mergeCell ref="L365:M365"/>
    <mergeCell ref="C368:D368"/>
    <mergeCell ref="A370:A371"/>
    <mergeCell ref="B370:B371"/>
    <mergeCell ref="C370:C371"/>
    <mergeCell ref="D370:D371"/>
    <mergeCell ref="E370:E371"/>
    <mergeCell ref="F370:G370"/>
    <mergeCell ref="H370:I370"/>
    <mergeCell ref="J370:K370"/>
  </mergeCells>
  <pageMargins left="0.4" right="1.4" top="0.4" bottom="0.4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L14" sqref="L14"/>
    </sheetView>
  </sheetViews>
  <sheetFormatPr defaultRowHeight="15"/>
  <cols>
    <col min="1" max="1" width="35.42578125" customWidth="1"/>
  </cols>
  <sheetData>
    <row r="1" spans="1:13" ht="2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5.75">
      <c r="A2" s="342" t="s">
        <v>49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5.75">
      <c r="A3" s="342" t="s">
        <v>572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6" spans="1:13" s="19" customFormat="1" ht="15.75">
      <c r="A6" s="17"/>
      <c r="B6" s="18" t="s">
        <v>2</v>
      </c>
      <c r="C6" s="18" t="s">
        <v>50</v>
      </c>
      <c r="D6" s="18" t="s">
        <v>51</v>
      </c>
      <c r="E6" s="18" t="s">
        <v>52</v>
      </c>
      <c r="F6" s="18" t="s">
        <v>6</v>
      </c>
      <c r="G6" s="18" t="s">
        <v>7</v>
      </c>
      <c r="H6" s="18" t="s">
        <v>53</v>
      </c>
      <c r="I6" s="18" t="s">
        <v>9</v>
      </c>
      <c r="J6" s="18" t="s">
        <v>10</v>
      </c>
      <c r="K6" s="18" t="s">
        <v>11</v>
      </c>
      <c r="L6" s="18" t="s">
        <v>54</v>
      </c>
      <c r="M6" s="18" t="s">
        <v>55</v>
      </c>
    </row>
    <row r="7" spans="1:13" s="19" customFormat="1">
      <c r="A7" s="20" t="s">
        <v>57</v>
      </c>
      <c r="B7" s="21">
        <v>2831</v>
      </c>
      <c r="C7" s="21">
        <f>B7+B8+B9</f>
        <v>2861</v>
      </c>
      <c r="D7" s="21">
        <f t="shared" ref="D7:M7" si="0">C7+C8+C9</f>
        <v>2898</v>
      </c>
      <c r="E7" s="21">
        <f t="shared" si="0"/>
        <v>2928</v>
      </c>
      <c r="F7" s="21">
        <f t="shared" si="0"/>
        <v>2973</v>
      </c>
      <c r="G7" s="21">
        <f t="shared" si="0"/>
        <v>3022</v>
      </c>
      <c r="H7" s="21">
        <f t="shared" si="0"/>
        <v>3080</v>
      </c>
      <c r="I7" s="21">
        <f t="shared" si="0"/>
        <v>3115</v>
      </c>
      <c r="J7" s="21">
        <f t="shared" si="0"/>
        <v>3155</v>
      </c>
      <c r="K7" s="21">
        <f t="shared" si="0"/>
        <v>3190</v>
      </c>
      <c r="L7" s="21">
        <f t="shared" si="0"/>
        <v>3215</v>
      </c>
      <c r="M7" s="21">
        <f t="shared" si="0"/>
        <v>3240</v>
      </c>
    </row>
    <row r="8" spans="1:13" s="19" customFormat="1">
      <c r="A8" s="20" t="s">
        <v>58</v>
      </c>
      <c r="B8" s="21">
        <f>Computation!B15</f>
        <v>25</v>
      </c>
      <c r="C8" s="21">
        <f>Computation!C15</f>
        <v>32</v>
      </c>
      <c r="D8" s="21">
        <f>Computation!D15</f>
        <v>25</v>
      </c>
      <c r="E8" s="21">
        <f>Computation!E15</f>
        <v>40</v>
      </c>
      <c r="F8" s="21">
        <f>Computation!F15</f>
        <v>44</v>
      </c>
      <c r="G8" s="21">
        <f>Computation!G15</f>
        <v>53</v>
      </c>
      <c r="H8" s="21">
        <f>Computation!H15</f>
        <v>30</v>
      </c>
      <c r="I8" s="21">
        <f>Computation!I15</f>
        <v>35</v>
      </c>
      <c r="J8" s="21">
        <f>Computation!J15</f>
        <v>30</v>
      </c>
      <c r="K8" s="21">
        <f>Computation!K15</f>
        <v>20</v>
      </c>
      <c r="L8" s="21">
        <f>Computation!L15</f>
        <v>20</v>
      </c>
      <c r="M8" s="21">
        <f>Computation!M15</f>
        <v>20</v>
      </c>
    </row>
    <row r="9" spans="1:13" s="19" customFormat="1">
      <c r="A9" s="20" t="s">
        <v>59</v>
      </c>
      <c r="B9" s="21">
        <v>5</v>
      </c>
      <c r="C9" s="21">
        <v>5</v>
      </c>
      <c r="D9" s="21">
        <v>5</v>
      </c>
      <c r="E9" s="21">
        <v>5</v>
      </c>
      <c r="F9" s="21">
        <v>5</v>
      </c>
      <c r="G9" s="21">
        <v>5</v>
      </c>
      <c r="H9" s="21">
        <v>5</v>
      </c>
      <c r="I9" s="21">
        <v>5</v>
      </c>
      <c r="J9" s="21">
        <v>5</v>
      </c>
      <c r="K9" s="21">
        <v>5</v>
      </c>
      <c r="L9" s="21">
        <v>5</v>
      </c>
      <c r="M9" s="21">
        <v>5</v>
      </c>
    </row>
    <row r="10" spans="1:13" s="19" customForma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19" customFormat="1" ht="15.75" thickBot="1">
      <c r="A11" s="20" t="s">
        <v>60</v>
      </c>
      <c r="B11" s="23">
        <f t="shared" ref="B11:M11" si="1">SUM(B7:B10)</f>
        <v>2861</v>
      </c>
      <c r="C11" s="23">
        <f t="shared" si="1"/>
        <v>2898</v>
      </c>
      <c r="D11" s="23">
        <f t="shared" si="1"/>
        <v>2928</v>
      </c>
      <c r="E11" s="23">
        <f t="shared" si="1"/>
        <v>2973</v>
      </c>
      <c r="F11" s="23">
        <f t="shared" si="1"/>
        <v>3022</v>
      </c>
      <c r="G11" s="23">
        <f t="shared" si="1"/>
        <v>3080</v>
      </c>
      <c r="H11" s="23">
        <f t="shared" si="1"/>
        <v>3115</v>
      </c>
      <c r="I11" s="23">
        <f t="shared" si="1"/>
        <v>3155</v>
      </c>
      <c r="J11" s="23">
        <f t="shared" si="1"/>
        <v>3190</v>
      </c>
      <c r="K11" s="23">
        <f t="shared" si="1"/>
        <v>3215</v>
      </c>
      <c r="L11" s="24">
        <f t="shared" si="1"/>
        <v>3240</v>
      </c>
      <c r="M11" s="24">
        <f t="shared" si="1"/>
        <v>3265</v>
      </c>
    </row>
    <row r="12" spans="1:13" s="19" customForma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7"/>
    </row>
    <row r="13" spans="1:13" s="19" customFormat="1" ht="15.75">
      <c r="A13" s="28" t="s">
        <v>760</v>
      </c>
      <c r="B13" s="29">
        <v>2372</v>
      </c>
      <c r="C13" s="30">
        <v>2412</v>
      </c>
      <c r="D13" s="29">
        <v>2437</v>
      </c>
      <c r="E13" s="30">
        <v>2477</v>
      </c>
      <c r="F13" s="29">
        <v>2542</v>
      </c>
      <c r="G13" s="30">
        <v>2597</v>
      </c>
      <c r="H13" s="29">
        <v>2627</v>
      </c>
      <c r="I13" s="30">
        <v>2662</v>
      </c>
      <c r="J13" s="29">
        <v>2687</v>
      </c>
      <c r="K13" s="30">
        <v>2710</v>
      </c>
      <c r="L13" s="29">
        <v>2733</v>
      </c>
      <c r="M13" s="31">
        <v>2754</v>
      </c>
    </row>
    <row r="14" spans="1:13" s="19" customFormat="1" ht="15.75">
      <c r="A14" s="33" t="s">
        <v>761</v>
      </c>
      <c r="B14" s="34">
        <v>2459</v>
      </c>
      <c r="C14" s="35">
        <v>2490</v>
      </c>
      <c r="D14" s="34">
        <v>2514</v>
      </c>
      <c r="E14" s="35">
        <v>2520</v>
      </c>
      <c r="F14" s="34">
        <v>2550</v>
      </c>
      <c r="G14" s="35">
        <v>2639</v>
      </c>
      <c r="H14" s="34">
        <v>2677</v>
      </c>
      <c r="I14" s="35">
        <v>2737</v>
      </c>
      <c r="J14" s="34">
        <v>2768</v>
      </c>
      <c r="K14" s="35">
        <v>2797</v>
      </c>
      <c r="L14" s="36"/>
      <c r="M14" s="37"/>
    </row>
    <row r="15" spans="1:13" s="19" customFormat="1">
      <c r="A15" s="20" t="s">
        <v>759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s="19" customFormat="1">
      <c r="A16" s="20" t="s">
        <v>61</v>
      </c>
      <c r="B16" s="21">
        <v>2614</v>
      </c>
      <c r="C16" s="21">
        <f>B16+27</f>
        <v>2641</v>
      </c>
      <c r="D16" s="21">
        <f t="shared" ref="D16" si="2">C16+20</f>
        <v>2661</v>
      </c>
      <c r="E16" s="21">
        <v>2676</v>
      </c>
      <c r="F16" s="21">
        <v>2712</v>
      </c>
      <c r="G16" s="21">
        <f>F16+40</f>
        <v>2752</v>
      </c>
      <c r="H16" s="21">
        <f>G16+25</f>
        <v>2777</v>
      </c>
      <c r="I16" s="21">
        <f>H16+28</f>
        <v>2805</v>
      </c>
      <c r="J16" s="21">
        <f>I16+23</f>
        <v>2828</v>
      </c>
      <c r="K16" s="21">
        <f>J16+15</f>
        <v>2843</v>
      </c>
      <c r="L16" s="21">
        <f>K16+16</f>
        <v>2859</v>
      </c>
      <c r="M16" s="21">
        <f>L16+15</f>
        <v>2874</v>
      </c>
    </row>
    <row r="17" spans="1:13" s="19" customFormat="1">
      <c r="A17" s="20" t="s">
        <v>62</v>
      </c>
      <c r="B17" s="21">
        <v>11</v>
      </c>
      <c r="C17" s="21">
        <f>B17+1</f>
        <v>12</v>
      </c>
      <c r="D17" s="21">
        <f>C17+1</f>
        <v>13</v>
      </c>
      <c r="E17" s="21">
        <f t="shared" ref="E17:M17" si="3">D17+1</f>
        <v>14</v>
      </c>
      <c r="F17" s="21">
        <f t="shared" si="3"/>
        <v>15</v>
      </c>
      <c r="G17" s="21">
        <f t="shared" si="3"/>
        <v>16</v>
      </c>
      <c r="H17" s="21">
        <v>16</v>
      </c>
      <c r="I17" s="21">
        <f t="shared" si="3"/>
        <v>17</v>
      </c>
      <c r="J17" s="21">
        <f t="shared" si="3"/>
        <v>18</v>
      </c>
      <c r="K17" s="21">
        <f t="shared" si="3"/>
        <v>19</v>
      </c>
      <c r="L17" s="21">
        <f t="shared" si="3"/>
        <v>20</v>
      </c>
      <c r="M17" s="21">
        <f t="shared" si="3"/>
        <v>21</v>
      </c>
    </row>
    <row r="18" spans="1:13" s="19" customFormat="1">
      <c r="A18" s="20" t="s">
        <v>63</v>
      </c>
      <c r="B18" s="21">
        <v>110</v>
      </c>
      <c r="C18" s="21">
        <f>B18+2</f>
        <v>112</v>
      </c>
      <c r="D18" s="21">
        <v>113</v>
      </c>
      <c r="E18" s="21">
        <f t="shared" ref="E18:M18" si="4">D18+2</f>
        <v>115</v>
      </c>
      <c r="F18" s="21">
        <f t="shared" si="4"/>
        <v>117</v>
      </c>
      <c r="G18" s="21">
        <f t="shared" si="4"/>
        <v>119</v>
      </c>
      <c r="H18" s="21">
        <f t="shared" si="4"/>
        <v>121</v>
      </c>
      <c r="I18" s="21">
        <f t="shared" si="4"/>
        <v>123</v>
      </c>
      <c r="J18" s="21">
        <f t="shared" si="4"/>
        <v>125</v>
      </c>
      <c r="K18" s="21">
        <f t="shared" si="4"/>
        <v>127</v>
      </c>
      <c r="L18" s="21">
        <v>128</v>
      </c>
      <c r="M18" s="21">
        <f t="shared" si="4"/>
        <v>130</v>
      </c>
    </row>
    <row r="19" spans="1:13" s="19" customFormat="1">
      <c r="A19" s="20" t="s">
        <v>64</v>
      </c>
      <c r="B19" s="21">
        <v>40</v>
      </c>
      <c r="C19" s="21">
        <f>B19+1</f>
        <v>41</v>
      </c>
      <c r="D19" s="21">
        <v>41</v>
      </c>
      <c r="E19" s="21">
        <f t="shared" ref="E19" si="5">D19+1</f>
        <v>42</v>
      </c>
      <c r="F19" s="21">
        <f>E19+3</f>
        <v>45</v>
      </c>
      <c r="G19" s="21">
        <f t="shared" ref="G19:L19" si="6">F19+3</f>
        <v>48</v>
      </c>
      <c r="H19" s="21">
        <f t="shared" si="6"/>
        <v>51</v>
      </c>
      <c r="I19" s="21">
        <f t="shared" si="6"/>
        <v>54</v>
      </c>
      <c r="J19" s="21">
        <f t="shared" si="6"/>
        <v>57</v>
      </c>
      <c r="K19" s="21">
        <v>56</v>
      </c>
      <c r="L19" s="21">
        <f t="shared" si="6"/>
        <v>59</v>
      </c>
      <c r="M19" s="21">
        <v>60</v>
      </c>
    </row>
    <row r="20" spans="1:13" s="19" customFormat="1">
      <c r="A20" s="20" t="s">
        <v>65</v>
      </c>
      <c r="B20" s="21">
        <v>24</v>
      </c>
      <c r="C20" s="21">
        <f>B20+1</f>
        <v>25</v>
      </c>
      <c r="D20" s="21">
        <f t="shared" ref="D20:M20" si="7">C20+1</f>
        <v>26</v>
      </c>
      <c r="E20" s="21">
        <v>29</v>
      </c>
      <c r="F20" s="21">
        <v>32</v>
      </c>
      <c r="G20" s="21">
        <f t="shared" si="7"/>
        <v>33</v>
      </c>
      <c r="H20" s="21">
        <f t="shared" si="7"/>
        <v>34</v>
      </c>
      <c r="I20" s="21">
        <f t="shared" si="7"/>
        <v>35</v>
      </c>
      <c r="J20" s="21">
        <f t="shared" si="7"/>
        <v>36</v>
      </c>
      <c r="K20" s="21">
        <f t="shared" si="7"/>
        <v>37</v>
      </c>
      <c r="L20" s="21">
        <f t="shared" si="7"/>
        <v>38</v>
      </c>
      <c r="M20" s="21">
        <f t="shared" si="7"/>
        <v>39</v>
      </c>
    </row>
    <row r="21" spans="1:13" s="19" customFormat="1">
      <c r="A21" s="20" t="s">
        <v>66</v>
      </c>
      <c r="B21" s="21">
        <v>49</v>
      </c>
      <c r="C21" s="21">
        <f>B21+2</f>
        <v>51</v>
      </c>
      <c r="D21" s="21">
        <v>52</v>
      </c>
      <c r="E21" s="21">
        <f t="shared" ref="E21:M21" si="8">D21+2</f>
        <v>54</v>
      </c>
      <c r="F21" s="21">
        <f t="shared" si="8"/>
        <v>56</v>
      </c>
      <c r="G21" s="21">
        <f t="shared" si="8"/>
        <v>58</v>
      </c>
      <c r="H21" s="21">
        <f t="shared" si="8"/>
        <v>60</v>
      </c>
      <c r="I21" s="21">
        <f t="shared" si="8"/>
        <v>62</v>
      </c>
      <c r="J21" s="21">
        <f t="shared" si="8"/>
        <v>64</v>
      </c>
      <c r="K21" s="21">
        <f t="shared" si="8"/>
        <v>66</v>
      </c>
      <c r="L21" s="21">
        <f t="shared" si="8"/>
        <v>68</v>
      </c>
      <c r="M21" s="21">
        <f t="shared" si="8"/>
        <v>70</v>
      </c>
    </row>
    <row r="22" spans="1:13" s="19" customFormat="1">
      <c r="A22" s="20" t="s">
        <v>67</v>
      </c>
      <c r="B22" s="21">
        <v>7</v>
      </c>
      <c r="C22" s="21">
        <f>B22+1</f>
        <v>8</v>
      </c>
      <c r="D22" s="21">
        <v>12</v>
      </c>
      <c r="E22" s="21">
        <f t="shared" ref="E22:M22" si="9">D22+1</f>
        <v>13</v>
      </c>
      <c r="F22" s="21">
        <v>15</v>
      </c>
      <c r="G22" s="21">
        <v>20</v>
      </c>
      <c r="H22" s="21">
        <f t="shared" si="9"/>
        <v>21</v>
      </c>
      <c r="I22" s="21">
        <f t="shared" si="9"/>
        <v>22</v>
      </c>
      <c r="J22" s="21">
        <f t="shared" si="9"/>
        <v>23</v>
      </c>
      <c r="K22" s="21">
        <f t="shared" si="9"/>
        <v>24</v>
      </c>
      <c r="L22" s="21">
        <f t="shared" si="9"/>
        <v>25</v>
      </c>
      <c r="M22" s="21">
        <f t="shared" si="9"/>
        <v>26</v>
      </c>
    </row>
    <row r="23" spans="1:13" s="19" customFormat="1">
      <c r="A23" s="20" t="s">
        <v>68</v>
      </c>
      <c r="B23" s="21">
        <v>6</v>
      </c>
      <c r="C23" s="21">
        <v>8</v>
      </c>
      <c r="D23" s="21">
        <f>C23+2</f>
        <v>10</v>
      </c>
      <c r="E23" s="21">
        <f t="shared" ref="E23:M23" si="10">D23+2</f>
        <v>12</v>
      </c>
      <c r="F23" s="21">
        <v>12</v>
      </c>
      <c r="G23" s="21">
        <v>16</v>
      </c>
      <c r="H23" s="21">
        <v>17</v>
      </c>
      <c r="I23" s="21">
        <f t="shared" si="10"/>
        <v>19</v>
      </c>
      <c r="J23" s="21">
        <f t="shared" si="10"/>
        <v>21</v>
      </c>
      <c r="K23" s="21">
        <f t="shared" si="10"/>
        <v>23</v>
      </c>
      <c r="L23" s="21">
        <f t="shared" si="10"/>
        <v>25</v>
      </c>
      <c r="M23" s="21">
        <f t="shared" si="10"/>
        <v>27</v>
      </c>
    </row>
    <row r="24" spans="1:13" s="19" customFormat="1">
      <c r="A24" s="38" t="s">
        <v>69</v>
      </c>
      <c r="B24" s="39">
        <f t="shared" ref="B24:M24" si="11">SUM(B16:B23)</f>
        <v>2861</v>
      </c>
      <c r="C24" s="39">
        <f t="shared" si="11"/>
        <v>2898</v>
      </c>
      <c r="D24" s="39">
        <f t="shared" si="11"/>
        <v>2928</v>
      </c>
      <c r="E24" s="39">
        <f t="shared" si="11"/>
        <v>2955</v>
      </c>
      <c r="F24" s="39">
        <f t="shared" si="11"/>
        <v>3004</v>
      </c>
      <c r="G24" s="39">
        <f t="shared" si="11"/>
        <v>3062</v>
      </c>
      <c r="H24" s="39">
        <f t="shared" si="11"/>
        <v>3097</v>
      </c>
      <c r="I24" s="39">
        <f t="shared" si="11"/>
        <v>3137</v>
      </c>
      <c r="J24" s="39">
        <f t="shared" si="11"/>
        <v>3172</v>
      </c>
      <c r="K24" s="39">
        <f t="shared" si="11"/>
        <v>3195</v>
      </c>
      <c r="L24" s="39">
        <f t="shared" si="11"/>
        <v>3222</v>
      </c>
      <c r="M24" s="39">
        <f t="shared" si="11"/>
        <v>3247</v>
      </c>
    </row>
    <row r="25" spans="1:13">
      <c r="A25" s="86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>
      <c r="A26" s="40"/>
    </row>
    <row r="28" spans="1:13">
      <c r="A28" s="2" t="s">
        <v>35</v>
      </c>
      <c r="C28" s="2" t="s">
        <v>36</v>
      </c>
      <c r="H28" s="2" t="s">
        <v>70</v>
      </c>
    </row>
    <row r="29" spans="1:13">
      <c r="H29" t="s">
        <v>71</v>
      </c>
    </row>
    <row r="30" spans="1:13">
      <c r="A30" s="2" t="s">
        <v>72</v>
      </c>
      <c r="C30" s="2" t="s">
        <v>39</v>
      </c>
      <c r="L30" s="10"/>
    </row>
    <row r="31" spans="1:13">
      <c r="A31" t="s">
        <v>755</v>
      </c>
      <c r="C31" s="10" t="s">
        <v>756</v>
      </c>
      <c r="H31" s="2" t="s">
        <v>714</v>
      </c>
      <c r="L31" s="10"/>
    </row>
    <row r="32" spans="1:13">
      <c r="H32" t="s">
        <v>73</v>
      </c>
    </row>
  </sheetData>
  <mergeCells count="3">
    <mergeCell ref="A1:M1"/>
    <mergeCell ref="A2:M2"/>
    <mergeCell ref="A3:M3"/>
  </mergeCells>
  <pageMargins left="0.5" right="1.5" top="0.5" bottom="0.5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D12" sqref="D12"/>
    </sheetView>
  </sheetViews>
  <sheetFormatPr defaultRowHeight="15"/>
  <cols>
    <col min="1" max="1" width="28.7109375" customWidth="1"/>
    <col min="14" max="14" width="12.7109375" customWidth="1"/>
  </cols>
  <sheetData>
    <row r="1" spans="1:15" ht="20.2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5" ht="15.75">
      <c r="A2" s="344" t="s">
        <v>74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5" ht="15.75">
      <c r="A3" s="342" t="s">
        <v>567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5" spans="1:15" ht="20.100000000000001" customHeight="1">
      <c r="A5" s="17"/>
      <c r="B5" s="41" t="s">
        <v>2</v>
      </c>
      <c r="C5" s="41" t="s">
        <v>75</v>
      </c>
      <c r="D5" s="41" t="s">
        <v>51</v>
      </c>
      <c r="E5" s="41" t="s">
        <v>5</v>
      </c>
      <c r="F5" s="41" t="s">
        <v>76</v>
      </c>
      <c r="G5" s="41" t="s">
        <v>7</v>
      </c>
      <c r="H5" s="41" t="s">
        <v>53</v>
      </c>
      <c r="I5" s="41" t="s">
        <v>9</v>
      </c>
      <c r="J5" s="41" t="s">
        <v>77</v>
      </c>
      <c r="K5" s="41" t="s">
        <v>78</v>
      </c>
      <c r="L5" s="41" t="s">
        <v>54</v>
      </c>
      <c r="M5" s="41" t="s">
        <v>55</v>
      </c>
      <c r="N5" s="18" t="s">
        <v>79</v>
      </c>
    </row>
    <row r="6" spans="1:15" ht="20.100000000000001" customHeight="1">
      <c r="A6" s="22" t="s">
        <v>80</v>
      </c>
      <c r="B6" s="230">
        <f>Connection!B16*Computation!$M$55</f>
        <v>44438</v>
      </c>
      <c r="C6" s="230">
        <f>Connection!C16*Computation!$M$55</f>
        <v>44897</v>
      </c>
      <c r="D6" s="230">
        <f>Connection!D16*Computation!$M$55</f>
        <v>45237</v>
      </c>
      <c r="E6" s="230">
        <f>Connection!E16*Computation!$M$55</f>
        <v>45492</v>
      </c>
      <c r="F6" s="230">
        <f>Connection!F16*Computation!$M$55</f>
        <v>46104</v>
      </c>
      <c r="G6" s="230">
        <f>Connection!G16*Computation!$M$55</f>
        <v>46784</v>
      </c>
      <c r="H6" s="230">
        <f>Connection!H16*Computation!$M$55</f>
        <v>47209</v>
      </c>
      <c r="I6" s="230">
        <f>Connection!I16*Computation!$M$55</f>
        <v>47685</v>
      </c>
      <c r="J6" s="230">
        <f>Connection!J16*Computation!$M$55</f>
        <v>48076</v>
      </c>
      <c r="K6" s="230">
        <f>Connection!K16*Computation!$M$55</f>
        <v>48331</v>
      </c>
      <c r="L6" s="230">
        <f>Connection!L16*Computation!$M$55</f>
        <v>48603</v>
      </c>
      <c r="M6" s="230">
        <f>Connection!M16*Computation!$M$55</f>
        <v>48858</v>
      </c>
      <c r="N6" s="230">
        <f t="shared" ref="N6:N13" si="0">SUM(B6:M6)</f>
        <v>561714</v>
      </c>
    </row>
    <row r="7" spans="1:15" ht="20.100000000000001" customHeight="1">
      <c r="A7" s="22" t="s">
        <v>81</v>
      </c>
      <c r="B7" s="230">
        <f>Connection!B17*Computation!$M$55</f>
        <v>187</v>
      </c>
      <c r="C7" s="230">
        <f>Connection!C17*Computation!$M$55</f>
        <v>204</v>
      </c>
      <c r="D7" s="230">
        <f>Connection!D17*Computation!$M$55</f>
        <v>221</v>
      </c>
      <c r="E7" s="230">
        <f>Connection!E17*Computation!$M$55</f>
        <v>238</v>
      </c>
      <c r="F7" s="230">
        <f>Connection!F17*Computation!$M$55</f>
        <v>255</v>
      </c>
      <c r="G7" s="230">
        <f>Connection!G17*Computation!$M$55</f>
        <v>272</v>
      </c>
      <c r="H7" s="230">
        <f>Connection!H17*Computation!$M$55</f>
        <v>272</v>
      </c>
      <c r="I7" s="230">
        <f>Connection!I17*Computation!$M$55</f>
        <v>289</v>
      </c>
      <c r="J7" s="230">
        <f>Connection!J17*Computation!$M$55</f>
        <v>306</v>
      </c>
      <c r="K7" s="230">
        <f>Connection!K17*Computation!$M$55</f>
        <v>323</v>
      </c>
      <c r="L7" s="230">
        <f>Connection!L17*Computation!$M$55</f>
        <v>340</v>
      </c>
      <c r="M7" s="230">
        <f>Connection!M17*Computation!$M$55</f>
        <v>357</v>
      </c>
      <c r="N7" s="230">
        <f t="shared" si="0"/>
        <v>3264</v>
      </c>
    </row>
    <row r="8" spans="1:15" ht="20.100000000000001" customHeight="1">
      <c r="A8" s="22" t="s">
        <v>82</v>
      </c>
      <c r="B8" s="230">
        <f>Connection!B18*Computation!$M$55</f>
        <v>1870</v>
      </c>
      <c r="C8" s="230">
        <f>Connection!C18*Computation!$M$55</f>
        <v>1904</v>
      </c>
      <c r="D8" s="230">
        <f>Connection!D18*Computation!$M$55</f>
        <v>1921</v>
      </c>
      <c r="E8" s="230">
        <f>Connection!E18*Computation!$M$55</f>
        <v>1955</v>
      </c>
      <c r="F8" s="230">
        <f>Connection!F18*Computation!$M$55</f>
        <v>1989</v>
      </c>
      <c r="G8" s="230">
        <f>Connection!G18*Computation!$M$55</f>
        <v>2023</v>
      </c>
      <c r="H8" s="230">
        <f>Connection!H18*Computation!$M$55</f>
        <v>2057</v>
      </c>
      <c r="I8" s="230">
        <f>Connection!I18*Computation!$M$55</f>
        <v>2091</v>
      </c>
      <c r="J8" s="230">
        <f>Connection!J18*Computation!$M$55</f>
        <v>2125</v>
      </c>
      <c r="K8" s="230">
        <f>Connection!K18*Computation!$M$55</f>
        <v>2159</v>
      </c>
      <c r="L8" s="230">
        <f>Connection!L18*Computation!$M$55</f>
        <v>2176</v>
      </c>
      <c r="M8" s="230">
        <f>Connection!M18*Computation!$M$55</f>
        <v>2210</v>
      </c>
      <c r="N8" s="230">
        <f t="shared" si="0"/>
        <v>24480</v>
      </c>
    </row>
    <row r="9" spans="1:15" ht="20.100000000000001" customHeight="1">
      <c r="A9" s="22" t="s">
        <v>83</v>
      </c>
      <c r="B9" s="230">
        <f>Connection!B19*Computation!$M$55</f>
        <v>680</v>
      </c>
      <c r="C9" s="230">
        <f>Connection!C19*Computation!$M$55</f>
        <v>697</v>
      </c>
      <c r="D9" s="230">
        <f>Connection!D19*Computation!$M$55</f>
        <v>697</v>
      </c>
      <c r="E9" s="230">
        <f>Connection!E19*Computation!$M$55</f>
        <v>714</v>
      </c>
      <c r="F9" s="230">
        <f>Connection!F19*Computation!$M$55</f>
        <v>765</v>
      </c>
      <c r="G9" s="230">
        <f>Connection!G19*Computation!$M$55</f>
        <v>816</v>
      </c>
      <c r="H9" s="230">
        <f>Connection!H19*Computation!$M$55</f>
        <v>867</v>
      </c>
      <c r="I9" s="230">
        <f>Connection!I19*Computation!$M$55</f>
        <v>918</v>
      </c>
      <c r="J9" s="230">
        <f>Connection!J19*Computation!$M$55</f>
        <v>969</v>
      </c>
      <c r="K9" s="230">
        <f>Connection!K19*Computation!$M$55</f>
        <v>952</v>
      </c>
      <c r="L9" s="230">
        <f>Connection!L19*Computation!$M$55</f>
        <v>1003</v>
      </c>
      <c r="M9" s="230">
        <f>Connection!M19*Computation!$M$55</f>
        <v>1020</v>
      </c>
      <c r="N9" s="230">
        <f t="shared" si="0"/>
        <v>10098</v>
      </c>
    </row>
    <row r="10" spans="1:15" ht="20.100000000000001" customHeight="1">
      <c r="A10" s="22" t="s">
        <v>84</v>
      </c>
      <c r="B10" s="230">
        <f>Connection!B20*Computation!$M$55</f>
        <v>408</v>
      </c>
      <c r="C10" s="230">
        <f>Connection!C20*Computation!$M$55</f>
        <v>425</v>
      </c>
      <c r="D10" s="230">
        <f>Connection!D20*Computation!$M$55</f>
        <v>442</v>
      </c>
      <c r="E10" s="230">
        <f>Connection!E20*Computation!$M$55</f>
        <v>493</v>
      </c>
      <c r="F10" s="230">
        <f>Connection!F20*Computation!$M$55</f>
        <v>544</v>
      </c>
      <c r="G10" s="230">
        <f>Connection!G20*Computation!$M$55</f>
        <v>561</v>
      </c>
      <c r="H10" s="230">
        <f>Connection!H20*Computation!$M$55</f>
        <v>578</v>
      </c>
      <c r="I10" s="230">
        <f>Connection!I20*Computation!$M$55</f>
        <v>595</v>
      </c>
      <c r="J10" s="230">
        <f>Connection!J20*Computation!$M$55</f>
        <v>612</v>
      </c>
      <c r="K10" s="230">
        <f>Connection!K20*Computation!$M$55</f>
        <v>629</v>
      </c>
      <c r="L10" s="230">
        <f>Connection!L20*Computation!$M$55</f>
        <v>646</v>
      </c>
      <c r="M10" s="230">
        <f>Connection!M20*Computation!$M$55</f>
        <v>663</v>
      </c>
      <c r="N10" s="230">
        <f t="shared" si="0"/>
        <v>6596</v>
      </c>
    </row>
    <row r="11" spans="1:15" ht="20.100000000000001" customHeight="1">
      <c r="A11" s="22" t="s">
        <v>85</v>
      </c>
      <c r="B11" s="230">
        <f>Connection!B21*7</f>
        <v>343</v>
      </c>
      <c r="C11" s="230">
        <f>Connection!C21*7</f>
        <v>357</v>
      </c>
      <c r="D11" s="230">
        <f>Connection!D21*7</f>
        <v>364</v>
      </c>
      <c r="E11" s="230">
        <f>Connection!E21*7</f>
        <v>378</v>
      </c>
      <c r="F11" s="230">
        <f>Connection!F21*7</f>
        <v>392</v>
      </c>
      <c r="G11" s="230">
        <f>Connection!G21*7</f>
        <v>406</v>
      </c>
      <c r="H11" s="230">
        <f>Connection!H21*7</f>
        <v>420</v>
      </c>
      <c r="I11" s="230">
        <f>Connection!I21*7</f>
        <v>434</v>
      </c>
      <c r="J11" s="230">
        <f>Connection!J21*7</f>
        <v>448</v>
      </c>
      <c r="K11" s="230">
        <f>Connection!K21*7</f>
        <v>462</v>
      </c>
      <c r="L11" s="230">
        <f>Connection!L21*7</f>
        <v>476</v>
      </c>
      <c r="M11" s="230">
        <f>Connection!M21*7</f>
        <v>490</v>
      </c>
      <c r="N11" s="230">
        <f t="shared" si="0"/>
        <v>4970</v>
      </c>
    </row>
    <row r="12" spans="1:15" ht="20.100000000000001" customHeight="1">
      <c r="A12" s="22" t="s">
        <v>86</v>
      </c>
      <c r="B12" s="230">
        <f>Connection!B22*7</f>
        <v>49</v>
      </c>
      <c r="C12" s="230">
        <f>Connection!C22*7</f>
        <v>56</v>
      </c>
      <c r="D12" s="230">
        <f>Connection!D22*7</f>
        <v>84</v>
      </c>
      <c r="E12" s="230">
        <f>Connection!E22*7</f>
        <v>91</v>
      </c>
      <c r="F12" s="230">
        <f>Connection!F22*7</f>
        <v>105</v>
      </c>
      <c r="G12" s="230">
        <f>Connection!G22*7</f>
        <v>140</v>
      </c>
      <c r="H12" s="230">
        <f>Connection!H22*7</f>
        <v>147</v>
      </c>
      <c r="I12" s="230">
        <f>Connection!I22*7</f>
        <v>154</v>
      </c>
      <c r="J12" s="230">
        <f>Connection!J22*7</f>
        <v>161</v>
      </c>
      <c r="K12" s="230">
        <f>Connection!K22*7</f>
        <v>168</v>
      </c>
      <c r="L12" s="230">
        <f>Connection!L22*7</f>
        <v>175</v>
      </c>
      <c r="M12" s="230">
        <f>Connection!M22*7</f>
        <v>182</v>
      </c>
      <c r="N12" s="230">
        <f t="shared" si="0"/>
        <v>1512</v>
      </c>
    </row>
    <row r="13" spans="1:15" ht="20.100000000000001" customHeight="1">
      <c r="A13" s="22" t="s">
        <v>87</v>
      </c>
      <c r="B13" s="230">
        <f>Connection!B23*7</f>
        <v>42</v>
      </c>
      <c r="C13" s="230">
        <f>Connection!C23*7</f>
        <v>56</v>
      </c>
      <c r="D13" s="230">
        <f>Connection!D23*7</f>
        <v>70</v>
      </c>
      <c r="E13" s="230">
        <f>Connection!E23*7</f>
        <v>84</v>
      </c>
      <c r="F13" s="230">
        <f>Connection!F23*7</f>
        <v>84</v>
      </c>
      <c r="G13" s="230">
        <f>Connection!G23*7</f>
        <v>112</v>
      </c>
      <c r="H13" s="230">
        <f>Connection!H23*7</f>
        <v>119</v>
      </c>
      <c r="I13" s="230">
        <f>Connection!I23*7</f>
        <v>133</v>
      </c>
      <c r="J13" s="230">
        <f>Connection!J23*7</f>
        <v>147</v>
      </c>
      <c r="K13" s="230">
        <f>Connection!K23*7</f>
        <v>161</v>
      </c>
      <c r="L13" s="230">
        <f>Connection!L23*7</f>
        <v>175</v>
      </c>
      <c r="M13" s="230">
        <f>Connection!M23*7</f>
        <v>189</v>
      </c>
      <c r="N13" s="230">
        <f t="shared" si="0"/>
        <v>1372</v>
      </c>
    </row>
    <row r="14" spans="1:15" ht="20.100000000000001" customHeight="1">
      <c r="A14" s="22" t="s">
        <v>88</v>
      </c>
      <c r="B14" s="230">
        <f t="shared" ref="B14:M14" si="1">SUM(B6:B13)</f>
        <v>48017</v>
      </c>
      <c r="C14" s="230">
        <f t="shared" si="1"/>
        <v>48596</v>
      </c>
      <c r="D14" s="230">
        <f t="shared" si="1"/>
        <v>49036</v>
      </c>
      <c r="E14" s="230">
        <f t="shared" si="1"/>
        <v>49445</v>
      </c>
      <c r="F14" s="230">
        <f t="shared" si="1"/>
        <v>50238</v>
      </c>
      <c r="G14" s="230">
        <f t="shared" si="1"/>
        <v>51114</v>
      </c>
      <c r="H14" s="230">
        <f t="shared" si="1"/>
        <v>51669</v>
      </c>
      <c r="I14" s="230">
        <f t="shared" si="1"/>
        <v>52299</v>
      </c>
      <c r="J14" s="230">
        <f t="shared" si="1"/>
        <v>52844</v>
      </c>
      <c r="K14" s="230">
        <f t="shared" si="1"/>
        <v>53185</v>
      </c>
      <c r="L14" s="230">
        <f t="shared" si="1"/>
        <v>53594</v>
      </c>
      <c r="M14" s="230">
        <f t="shared" si="1"/>
        <v>53969</v>
      </c>
      <c r="N14" s="230">
        <f>SUM(N6:N13)</f>
        <v>614006</v>
      </c>
    </row>
    <row r="15" spans="1:15"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</row>
    <row r="16" spans="1:15" ht="20.100000000000001" customHeight="1">
      <c r="A16" s="122" t="s">
        <v>757</v>
      </c>
      <c r="B16" s="230">
        <v>29711</v>
      </c>
      <c r="C16" s="230">
        <v>29957</v>
      </c>
      <c r="D16" s="230">
        <v>30291</v>
      </c>
      <c r="E16" s="230">
        <v>32124</v>
      </c>
      <c r="F16" s="230">
        <v>33845</v>
      </c>
      <c r="G16" s="230">
        <v>33505</v>
      </c>
      <c r="H16" s="230">
        <v>33422</v>
      </c>
      <c r="I16" s="230">
        <v>33673</v>
      </c>
      <c r="J16" s="230">
        <v>33968</v>
      </c>
      <c r="K16" s="230">
        <v>33292</v>
      </c>
      <c r="L16" s="230">
        <v>33597</v>
      </c>
      <c r="M16" s="230">
        <v>33887</v>
      </c>
      <c r="N16" s="231">
        <f>SUM(B16:M16)</f>
        <v>391272</v>
      </c>
      <c r="O16" s="7"/>
    </row>
    <row r="17" spans="1:14" ht="20.100000000000001" customHeight="1">
      <c r="A17" s="38" t="s">
        <v>758</v>
      </c>
      <c r="B17" s="230">
        <v>29553</v>
      </c>
      <c r="C17" s="230">
        <v>28210</v>
      </c>
      <c r="D17" s="230">
        <v>27786</v>
      </c>
      <c r="E17" s="230">
        <v>32075</v>
      </c>
      <c r="F17" s="230">
        <v>34177</v>
      </c>
      <c r="G17" s="230">
        <v>37427</v>
      </c>
      <c r="H17" s="230">
        <v>36868</v>
      </c>
      <c r="I17" s="230">
        <v>37079</v>
      </c>
      <c r="J17" s="230">
        <v>36895</v>
      </c>
      <c r="K17" s="231">
        <v>35485</v>
      </c>
      <c r="L17" s="231"/>
      <c r="M17" s="231"/>
      <c r="N17" s="231">
        <f>SUM(B17:M17)</f>
        <v>335555</v>
      </c>
    </row>
    <row r="18" spans="1:14" ht="45.75" customHeight="1"/>
    <row r="19" spans="1:14">
      <c r="A19" s="2" t="s">
        <v>35</v>
      </c>
      <c r="E19" s="2" t="s">
        <v>89</v>
      </c>
      <c r="K19" s="2" t="s">
        <v>34</v>
      </c>
    </row>
    <row r="20" spans="1:14">
      <c r="K20" t="s">
        <v>90</v>
      </c>
    </row>
    <row r="21" spans="1:14">
      <c r="E21" s="2"/>
    </row>
    <row r="22" spans="1:14">
      <c r="A22" s="2" t="s">
        <v>38</v>
      </c>
      <c r="E22" s="2" t="s">
        <v>39</v>
      </c>
      <c r="K22" s="2" t="s">
        <v>714</v>
      </c>
    </row>
    <row r="23" spans="1:14">
      <c r="A23" t="s">
        <v>755</v>
      </c>
      <c r="E23" s="10" t="s">
        <v>756</v>
      </c>
      <c r="K23" t="s">
        <v>40</v>
      </c>
    </row>
    <row r="26" spans="1:14">
      <c r="K26" s="10"/>
    </row>
  </sheetData>
  <mergeCells count="3">
    <mergeCell ref="A1:M1"/>
    <mergeCell ref="A2:M2"/>
    <mergeCell ref="A3:M3"/>
  </mergeCells>
  <pageMargins left="0.5" right="1.5" top="0.5" bottom="0.5" header="0.3" footer="0.3"/>
  <pageSetup paperSize="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D16" sqref="D16"/>
    </sheetView>
  </sheetViews>
  <sheetFormatPr defaultRowHeight="15"/>
  <cols>
    <col min="1" max="1" width="20.85546875" customWidth="1"/>
    <col min="2" max="13" width="10.7109375" customWidth="1"/>
  </cols>
  <sheetData>
    <row r="1" spans="1:14" ht="20.2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4" ht="15.75">
      <c r="A2" s="344" t="s">
        <v>91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4" ht="15.75">
      <c r="A3" s="342" t="s">
        <v>573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5" spans="1:14" ht="6.75" customHeight="1"/>
    <row r="6" spans="1:14" ht="15.75">
      <c r="A6" s="17"/>
      <c r="B6" s="163" t="s">
        <v>2</v>
      </c>
      <c r="C6" s="164" t="s">
        <v>3</v>
      </c>
      <c r="D6" s="164" t="s">
        <v>51</v>
      </c>
      <c r="E6" s="164" t="s">
        <v>5</v>
      </c>
      <c r="F6" s="164" t="s">
        <v>6</v>
      </c>
      <c r="G6" s="164" t="s">
        <v>92</v>
      </c>
      <c r="H6" s="164" t="s">
        <v>53</v>
      </c>
      <c r="I6" s="164" t="s">
        <v>93</v>
      </c>
      <c r="J6" s="164" t="s">
        <v>10</v>
      </c>
      <c r="K6" s="164" t="s">
        <v>11</v>
      </c>
      <c r="L6" s="164" t="s">
        <v>54</v>
      </c>
      <c r="M6" s="164" t="s">
        <v>55</v>
      </c>
      <c r="N6" s="19"/>
    </row>
    <row r="7" spans="1:14" ht="15.75">
      <c r="A7" s="165" t="s">
        <v>80</v>
      </c>
      <c r="B7" s="166">
        <f>Computation!O55</f>
        <v>498.5</v>
      </c>
      <c r="C7" s="166">
        <f>B7</f>
        <v>498.5</v>
      </c>
      <c r="D7" s="166">
        <f t="shared" ref="D7:M7" si="0">C7</f>
        <v>498.5</v>
      </c>
      <c r="E7" s="166">
        <f t="shared" si="0"/>
        <v>498.5</v>
      </c>
      <c r="F7" s="166">
        <f t="shared" si="0"/>
        <v>498.5</v>
      </c>
      <c r="G7" s="166">
        <f t="shared" si="0"/>
        <v>498.5</v>
      </c>
      <c r="H7" s="166">
        <f t="shared" si="0"/>
        <v>498.5</v>
      </c>
      <c r="I7" s="166">
        <f t="shared" si="0"/>
        <v>498.5</v>
      </c>
      <c r="J7" s="166">
        <f t="shared" si="0"/>
        <v>498.5</v>
      </c>
      <c r="K7" s="166">
        <f t="shared" si="0"/>
        <v>498.5</v>
      </c>
      <c r="L7" s="166">
        <f t="shared" si="0"/>
        <v>498.5</v>
      </c>
      <c r="M7" s="166">
        <f t="shared" si="0"/>
        <v>498.5</v>
      </c>
      <c r="N7" s="19"/>
    </row>
    <row r="8" spans="1:14" ht="15.75">
      <c r="A8" s="165" t="s">
        <v>81</v>
      </c>
      <c r="B8" s="166">
        <f>Computation!O56</f>
        <v>1924</v>
      </c>
      <c r="C8" s="166">
        <f t="shared" ref="C8:M14" si="1">B8</f>
        <v>1924</v>
      </c>
      <c r="D8" s="166">
        <f t="shared" si="1"/>
        <v>1924</v>
      </c>
      <c r="E8" s="166">
        <f t="shared" si="1"/>
        <v>1924</v>
      </c>
      <c r="F8" s="166">
        <f t="shared" si="1"/>
        <v>1924</v>
      </c>
      <c r="G8" s="166">
        <f t="shared" si="1"/>
        <v>1924</v>
      </c>
      <c r="H8" s="166">
        <f t="shared" si="1"/>
        <v>1924</v>
      </c>
      <c r="I8" s="166">
        <f t="shared" si="1"/>
        <v>1924</v>
      </c>
      <c r="J8" s="166">
        <f t="shared" si="1"/>
        <v>1924</v>
      </c>
      <c r="K8" s="166">
        <f t="shared" si="1"/>
        <v>1924</v>
      </c>
      <c r="L8" s="166">
        <f t="shared" si="1"/>
        <v>1924</v>
      </c>
      <c r="M8" s="166">
        <f t="shared" si="1"/>
        <v>1924</v>
      </c>
      <c r="N8" s="19"/>
    </row>
    <row r="9" spans="1:14" ht="15.75">
      <c r="A9" s="165" t="s">
        <v>82</v>
      </c>
      <c r="B9" s="166">
        <f>Computation!O57</f>
        <v>1032.25</v>
      </c>
      <c r="C9" s="166">
        <f t="shared" si="1"/>
        <v>1032.25</v>
      </c>
      <c r="D9" s="166">
        <f t="shared" si="1"/>
        <v>1032.25</v>
      </c>
      <c r="E9" s="166">
        <f t="shared" si="1"/>
        <v>1032.25</v>
      </c>
      <c r="F9" s="166">
        <f t="shared" si="1"/>
        <v>1032.25</v>
      </c>
      <c r="G9" s="166">
        <f t="shared" si="1"/>
        <v>1032.25</v>
      </c>
      <c r="H9" s="166">
        <f t="shared" si="1"/>
        <v>1032.25</v>
      </c>
      <c r="I9" s="166">
        <f t="shared" si="1"/>
        <v>1032.25</v>
      </c>
      <c r="J9" s="166">
        <f t="shared" si="1"/>
        <v>1032.25</v>
      </c>
      <c r="K9" s="166">
        <f t="shared" si="1"/>
        <v>1032.25</v>
      </c>
      <c r="L9" s="166">
        <f t="shared" si="1"/>
        <v>1032.25</v>
      </c>
      <c r="M9" s="166">
        <f t="shared" si="1"/>
        <v>1032.25</v>
      </c>
      <c r="N9" s="19"/>
    </row>
    <row r="10" spans="1:14" ht="15.75">
      <c r="A10" s="165" t="s">
        <v>83</v>
      </c>
      <c r="B10" s="166">
        <f>Computation!O58</f>
        <v>885</v>
      </c>
      <c r="C10" s="166">
        <f t="shared" si="1"/>
        <v>885</v>
      </c>
      <c r="D10" s="166">
        <f t="shared" si="1"/>
        <v>885</v>
      </c>
      <c r="E10" s="166">
        <f t="shared" si="1"/>
        <v>885</v>
      </c>
      <c r="F10" s="166">
        <f t="shared" si="1"/>
        <v>885</v>
      </c>
      <c r="G10" s="166">
        <f t="shared" si="1"/>
        <v>885</v>
      </c>
      <c r="H10" s="166">
        <f t="shared" si="1"/>
        <v>885</v>
      </c>
      <c r="I10" s="166">
        <f t="shared" si="1"/>
        <v>885</v>
      </c>
      <c r="J10" s="166">
        <f t="shared" si="1"/>
        <v>885</v>
      </c>
      <c r="K10" s="166">
        <f t="shared" si="1"/>
        <v>885</v>
      </c>
      <c r="L10" s="166">
        <f t="shared" si="1"/>
        <v>885</v>
      </c>
      <c r="M10" s="166">
        <f t="shared" si="1"/>
        <v>885</v>
      </c>
      <c r="N10" s="19"/>
    </row>
    <row r="11" spans="1:14" ht="15.75">
      <c r="A11" s="165" t="s">
        <v>84</v>
      </c>
      <c r="B11" s="166">
        <f>Computation!O59</f>
        <v>535.31999999999994</v>
      </c>
      <c r="C11" s="166">
        <f t="shared" si="1"/>
        <v>535.31999999999994</v>
      </c>
      <c r="D11" s="166">
        <f t="shared" si="1"/>
        <v>535.31999999999994</v>
      </c>
      <c r="E11" s="166">
        <f t="shared" si="1"/>
        <v>535.31999999999994</v>
      </c>
      <c r="F11" s="166">
        <f t="shared" si="1"/>
        <v>535.31999999999994</v>
      </c>
      <c r="G11" s="166">
        <f t="shared" si="1"/>
        <v>535.31999999999994</v>
      </c>
      <c r="H11" s="166">
        <f t="shared" si="1"/>
        <v>535.31999999999994</v>
      </c>
      <c r="I11" s="166">
        <f t="shared" si="1"/>
        <v>535.31999999999994</v>
      </c>
      <c r="J11" s="166">
        <f t="shared" si="1"/>
        <v>535.31999999999994</v>
      </c>
      <c r="K11" s="166">
        <f t="shared" si="1"/>
        <v>535.31999999999994</v>
      </c>
      <c r="L11" s="166">
        <f t="shared" si="1"/>
        <v>535.31999999999994</v>
      </c>
      <c r="M11" s="166">
        <f t="shared" si="1"/>
        <v>535.31999999999994</v>
      </c>
      <c r="N11" s="19"/>
    </row>
    <row r="12" spans="1:14" ht="15.75">
      <c r="A12" s="165" t="s">
        <v>85</v>
      </c>
      <c r="B12" s="166">
        <f>Computation!O60</f>
        <v>249.375</v>
      </c>
      <c r="C12" s="166">
        <f t="shared" si="1"/>
        <v>249.375</v>
      </c>
      <c r="D12" s="166">
        <f t="shared" si="1"/>
        <v>249.375</v>
      </c>
      <c r="E12" s="166">
        <f t="shared" si="1"/>
        <v>249.375</v>
      </c>
      <c r="F12" s="166">
        <f t="shared" si="1"/>
        <v>249.375</v>
      </c>
      <c r="G12" s="166">
        <f t="shared" si="1"/>
        <v>249.375</v>
      </c>
      <c r="H12" s="166">
        <f t="shared" si="1"/>
        <v>249.375</v>
      </c>
      <c r="I12" s="166">
        <f t="shared" si="1"/>
        <v>249.375</v>
      </c>
      <c r="J12" s="166">
        <f t="shared" si="1"/>
        <v>249.375</v>
      </c>
      <c r="K12" s="166">
        <f t="shared" si="1"/>
        <v>249.375</v>
      </c>
      <c r="L12" s="166">
        <f t="shared" si="1"/>
        <v>249.375</v>
      </c>
      <c r="M12" s="166">
        <f t="shared" si="1"/>
        <v>249.375</v>
      </c>
      <c r="N12" s="19"/>
    </row>
    <row r="13" spans="1:14" ht="15.75">
      <c r="A13" s="165" t="s">
        <v>86</v>
      </c>
      <c r="B13" s="166">
        <f>Computation!O61</f>
        <v>213.75</v>
      </c>
      <c r="C13" s="166">
        <f t="shared" si="1"/>
        <v>213.75</v>
      </c>
      <c r="D13" s="166">
        <f t="shared" si="1"/>
        <v>213.75</v>
      </c>
      <c r="E13" s="166">
        <f t="shared" si="1"/>
        <v>213.75</v>
      </c>
      <c r="F13" s="166">
        <f t="shared" si="1"/>
        <v>213.75</v>
      </c>
      <c r="G13" s="166">
        <f t="shared" si="1"/>
        <v>213.75</v>
      </c>
      <c r="H13" s="166">
        <f t="shared" si="1"/>
        <v>213.75</v>
      </c>
      <c r="I13" s="166">
        <f t="shared" si="1"/>
        <v>213.75</v>
      </c>
      <c r="J13" s="166">
        <f t="shared" si="1"/>
        <v>213.75</v>
      </c>
      <c r="K13" s="166">
        <f t="shared" si="1"/>
        <v>213.75</v>
      </c>
      <c r="L13" s="166">
        <f t="shared" si="1"/>
        <v>213.75</v>
      </c>
      <c r="M13" s="166">
        <f t="shared" si="1"/>
        <v>213.75</v>
      </c>
      <c r="N13" s="19"/>
    </row>
    <row r="14" spans="1:14" ht="15.75">
      <c r="A14" s="165" t="s">
        <v>87</v>
      </c>
      <c r="B14" s="166">
        <f>Computation!O62</f>
        <v>178.125</v>
      </c>
      <c r="C14" s="166">
        <f t="shared" si="1"/>
        <v>178.125</v>
      </c>
      <c r="D14" s="166">
        <f t="shared" si="1"/>
        <v>178.125</v>
      </c>
      <c r="E14" s="166">
        <f t="shared" si="1"/>
        <v>178.125</v>
      </c>
      <c r="F14" s="166">
        <f t="shared" si="1"/>
        <v>178.125</v>
      </c>
      <c r="G14" s="166">
        <f t="shared" si="1"/>
        <v>178.125</v>
      </c>
      <c r="H14" s="166">
        <f t="shared" si="1"/>
        <v>178.125</v>
      </c>
      <c r="I14" s="166">
        <f t="shared" si="1"/>
        <v>178.125</v>
      </c>
      <c r="J14" s="166">
        <f t="shared" si="1"/>
        <v>178.125</v>
      </c>
      <c r="K14" s="166">
        <f t="shared" si="1"/>
        <v>178.125</v>
      </c>
      <c r="L14" s="166">
        <f t="shared" si="1"/>
        <v>178.125</v>
      </c>
      <c r="M14" s="166">
        <f t="shared" si="1"/>
        <v>178.125</v>
      </c>
      <c r="N14" s="19"/>
    </row>
    <row r="15" spans="1:14" ht="15.75">
      <c r="A15" s="45"/>
      <c r="B15" s="46"/>
      <c r="C15" s="45"/>
      <c r="D15" s="45"/>
      <c r="E15" s="45"/>
      <c r="F15" s="45"/>
      <c r="G15" s="19"/>
      <c r="H15" s="19"/>
      <c r="I15" s="19"/>
      <c r="J15" s="19"/>
      <c r="K15" s="19"/>
      <c r="L15" s="19"/>
      <c r="M15" s="19"/>
      <c r="N15" s="19"/>
    </row>
    <row r="16" spans="1:14" ht="18">
      <c r="A16" s="46"/>
      <c r="B16" s="47" t="s">
        <v>94</v>
      </c>
      <c r="C16" s="47"/>
      <c r="D16" s="19"/>
      <c r="E16" s="19"/>
      <c r="F16" s="19"/>
      <c r="G16" s="19"/>
      <c r="H16" s="19"/>
      <c r="I16" s="48"/>
      <c r="J16" s="48"/>
      <c r="K16" s="48"/>
      <c r="L16" s="45"/>
      <c r="M16" s="45"/>
      <c r="N16" s="45"/>
    </row>
    <row r="17" spans="1:14" ht="15.75">
      <c r="A17" s="17"/>
      <c r="B17" s="17"/>
      <c r="C17" s="49" t="s">
        <v>95</v>
      </c>
      <c r="D17" s="50"/>
      <c r="E17" s="51"/>
      <c r="F17" s="51"/>
      <c r="G17" s="52"/>
      <c r="H17" s="45"/>
      <c r="I17" s="46"/>
      <c r="J17" s="45"/>
      <c r="K17" s="45"/>
      <c r="L17" s="45"/>
      <c r="M17" s="45"/>
      <c r="N17" s="45"/>
    </row>
    <row r="18" spans="1:14" ht="15.75">
      <c r="A18" s="20"/>
      <c r="B18" s="20"/>
      <c r="C18" s="53" t="s">
        <v>96</v>
      </c>
      <c r="D18" s="54" t="s">
        <v>97</v>
      </c>
      <c r="E18" s="44"/>
      <c r="F18" s="44"/>
      <c r="G18" s="44"/>
      <c r="H18" s="45"/>
      <c r="I18" s="46"/>
      <c r="J18" s="55"/>
      <c r="K18" s="56"/>
      <c r="L18" s="56"/>
      <c r="M18" s="56"/>
      <c r="N18" s="45"/>
    </row>
    <row r="19" spans="1:14" ht="15.75">
      <c r="A19" s="57"/>
      <c r="B19" s="58" t="s">
        <v>98</v>
      </c>
      <c r="C19" s="58" t="s">
        <v>99</v>
      </c>
      <c r="D19" s="59" t="s">
        <v>100</v>
      </c>
      <c r="E19" s="60" t="s">
        <v>101</v>
      </c>
      <c r="F19" s="60" t="s">
        <v>102</v>
      </c>
      <c r="G19" s="60" t="s">
        <v>103</v>
      </c>
      <c r="H19" s="61"/>
      <c r="I19" s="61"/>
      <c r="J19" s="61"/>
      <c r="K19" s="62"/>
      <c r="L19" s="62"/>
      <c r="M19" s="62"/>
      <c r="N19" s="45"/>
    </row>
    <row r="20" spans="1:14" ht="15.75">
      <c r="A20" s="25" t="s">
        <v>80</v>
      </c>
      <c r="B20" s="123"/>
      <c r="C20" s="124">
        <v>285</v>
      </c>
      <c r="D20" s="125">
        <v>30.5</v>
      </c>
      <c r="E20" s="125">
        <v>33.5</v>
      </c>
      <c r="F20" s="125">
        <v>37</v>
      </c>
      <c r="G20" s="125">
        <v>41</v>
      </c>
      <c r="H20" s="62"/>
      <c r="I20" s="63"/>
      <c r="J20" s="63"/>
      <c r="K20" s="63"/>
      <c r="L20" s="63"/>
      <c r="M20" s="63"/>
      <c r="N20" s="45"/>
    </row>
    <row r="21" spans="1:14" ht="15.75">
      <c r="A21" s="25" t="s">
        <v>81</v>
      </c>
      <c r="B21" s="123"/>
      <c r="C21" s="124">
        <f>C20*2</f>
        <v>570</v>
      </c>
      <c r="D21" s="124">
        <v>61</v>
      </c>
      <c r="E21" s="124">
        <v>67</v>
      </c>
      <c r="F21" s="124">
        <v>74</v>
      </c>
      <c r="G21" s="124">
        <v>82</v>
      </c>
      <c r="H21" s="62"/>
      <c r="I21" s="63"/>
      <c r="J21" s="63"/>
      <c r="K21" s="63"/>
      <c r="L21" s="63"/>
      <c r="M21" s="63"/>
      <c r="N21" s="45"/>
    </row>
    <row r="22" spans="1:14" ht="15.75">
      <c r="A22" s="25" t="s">
        <v>104</v>
      </c>
      <c r="B22" s="123"/>
      <c r="C22" s="124">
        <f>C20*1.75</f>
        <v>498.75</v>
      </c>
      <c r="D22" s="124">
        <v>53.35</v>
      </c>
      <c r="E22" s="124">
        <v>58.6</v>
      </c>
      <c r="F22" s="124">
        <v>64.75</v>
      </c>
      <c r="G22" s="124">
        <v>71.75</v>
      </c>
      <c r="H22" s="62"/>
      <c r="I22" s="63"/>
      <c r="J22" s="63"/>
      <c r="K22" s="63"/>
      <c r="L22" s="63"/>
      <c r="M22" s="63"/>
      <c r="N22" s="45"/>
    </row>
    <row r="23" spans="1:14" ht="15.75">
      <c r="A23" s="25" t="s">
        <v>105</v>
      </c>
      <c r="B23" s="123"/>
      <c r="C23" s="124">
        <f>C20*1.5</f>
        <v>427.5</v>
      </c>
      <c r="D23" s="124">
        <v>45.75</v>
      </c>
      <c r="E23" s="124">
        <v>50.25</v>
      </c>
      <c r="F23" s="124">
        <v>55.5</v>
      </c>
      <c r="G23" s="124">
        <v>61.5</v>
      </c>
      <c r="H23" s="62"/>
      <c r="I23" s="63"/>
      <c r="J23" s="63"/>
      <c r="K23" s="63"/>
      <c r="L23" s="63"/>
      <c r="M23" s="63"/>
      <c r="N23" s="45"/>
    </row>
    <row r="24" spans="1:14" ht="15.75">
      <c r="A24" s="25" t="s">
        <v>106</v>
      </c>
      <c r="B24" s="123"/>
      <c r="C24" s="124">
        <f>C20*1.25</f>
        <v>356.25</v>
      </c>
      <c r="D24" s="124">
        <v>38.1</v>
      </c>
      <c r="E24" s="124" t="s">
        <v>107</v>
      </c>
      <c r="F24" s="124">
        <v>46.25</v>
      </c>
      <c r="G24" s="124">
        <v>51.25</v>
      </c>
      <c r="H24" s="62"/>
      <c r="I24" s="63"/>
      <c r="J24" s="63"/>
      <c r="K24" s="63"/>
      <c r="L24" s="63"/>
      <c r="M24" s="63"/>
      <c r="N24" s="40"/>
    </row>
    <row r="25" spans="1:14" ht="15.75">
      <c r="A25" s="64" t="s">
        <v>108</v>
      </c>
      <c r="B25" s="126"/>
      <c r="C25" s="124">
        <f>C22/2</f>
        <v>249.375</v>
      </c>
      <c r="D25" s="124">
        <v>53.35</v>
      </c>
      <c r="E25" s="124">
        <v>58.6</v>
      </c>
      <c r="F25" s="124">
        <v>64.75</v>
      </c>
      <c r="G25" s="124">
        <v>71.75</v>
      </c>
      <c r="H25" s="65"/>
      <c r="I25" s="63"/>
      <c r="J25" s="63"/>
      <c r="K25" s="63"/>
      <c r="L25" s="63"/>
      <c r="M25" s="63"/>
      <c r="N25" s="40"/>
    </row>
    <row r="26" spans="1:14" ht="15.75">
      <c r="A26" s="64" t="s">
        <v>109</v>
      </c>
      <c r="B26" s="127"/>
      <c r="C26" s="124">
        <f t="shared" ref="C26:C27" si="2">C23/2</f>
        <v>213.75</v>
      </c>
      <c r="D26" s="124">
        <v>45.75</v>
      </c>
      <c r="E26" s="124">
        <v>50.25</v>
      </c>
      <c r="F26" s="124">
        <v>55.5</v>
      </c>
      <c r="G26" s="124">
        <v>61.5</v>
      </c>
      <c r="H26" s="65"/>
      <c r="I26" s="63"/>
      <c r="J26" s="63"/>
      <c r="K26" s="63"/>
      <c r="L26" s="63"/>
      <c r="M26" s="63"/>
      <c r="N26" s="40"/>
    </row>
    <row r="27" spans="1:14" ht="15.75">
      <c r="A27" s="66" t="s">
        <v>110</v>
      </c>
      <c r="B27" s="128"/>
      <c r="C27" s="129">
        <f t="shared" si="2"/>
        <v>178.125</v>
      </c>
      <c r="D27" s="129">
        <v>38.1</v>
      </c>
      <c r="E27" s="129">
        <v>41.85</v>
      </c>
      <c r="F27" s="129">
        <v>46.25</v>
      </c>
      <c r="G27" s="129">
        <v>51.25</v>
      </c>
      <c r="H27" s="45"/>
      <c r="I27" s="63"/>
      <c r="J27" s="63"/>
      <c r="K27" s="63"/>
      <c r="L27" s="63"/>
      <c r="M27" s="63"/>
      <c r="N27" s="40"/>
    </row>
    <row r="28" spans="1:14" ht="15.75">
      <c r="A28" s="45"/>
      <c r="B28" s="63"/>
      <c r="C28" s="63"/>
      <c r="D28" s="63"/>
      <c r="E28" s="63"/>
      <c r="F28" s="63"/>
    </row>
    <row r="29" spans="1:14" ht="10.5" customHeight="1">
      <c r="A29" s="45"/>
      <c r="B29" s="46"/>
      <c r="C29" s="46"/>
      <c r="D29" s="45"/>
      <c r="E29" s="45"/>
      <c r="F29" s="45"/>
      <c r="G29" s="2"/>
      <c r="H29" s="2"/>
      <c r="I29" s="2"/>
      <c r="J29" s="2"/>
    </row>
    <row r="30" spans="1:14" ht="15.75">
      <c r="A30" s="19" t="s">
        <v>111</v>
      </c>
      <c r="B30" s="19"/>
      <c r="C30" s="19"/>
      <c r="E30" s="19" t="s">
        <v>112</v>
      </c>
      <c r="F30" s="19"/>
      <c r="H30" s="2"/>
      <c r="J30" s="2" t="s">
        <v>34</v>
      </c>
    </row>
    <row r="31" spans="1:14" ht="15.75">
      <c r="A31" s="19"/>
      <c r="B31" s="19"/>
      <c r="C31" s="19"/>
      <c r="E31" s="19"/>
      <c r="F31" s="19"/>
      <c r="J31" t="s">
        <v>37</v>
      </c>
    </row>
    <row r="32" spans="1:14" ht="15.75">
      <c r="A32" s="67" t="s">
        <v>113</v>
      </c>
      <c r="B32" s="19"/>
      <c r="C32" s="19"/>
      <c r="E32" s="2" t="s">
        <v>39</v>
      </c>
    </row>
    <row r="33" spans="1:10" ht="15.75">
      <c r="A33" t="s">
        <v>755</v>
      </c>
      <c r="B33" s="19"/>
      <c r="C33" s="19"/>
      <c r="E33" s="10" t="s">
        <v>756</v>
      </c>
      <c r="H33" s="2"/>
      <c r="J33" s="2" t="s">
        <v>714</v>
      </c>
    </row>
    <row r="34" spans="1:10" ht="15.75">
      <c r="A34" s="45"/>
      <c r="B34" s="63"/>
      <c r="C34" s="63"/>
      <c r="D34" s="63"/>
      <c r="E34" s="63"/>
      <c r="F34" s="63"/>
      <c r="J34" t="s">
        <v>114</v>
      </c>
    </row>
    <row r="35" spans="1:10" ht="15.75">
      <c r="A35" s="45"/>
      <c r="B35" s="63"/>
      <c r="C35" s="63"/>
      <c r="D35" s="63"/>
      <c r="E35" s="63"/>
      <c r="F35" s="63"/>
    </row>
    <row r="36" spans="1:10" ht="15.75">
      <c r="A36" s="45"/>
      <c r="B36" s="63"/>
      <c r="C36" s="63"/>
      <c r="D36" s="63"/>
      <c r="E36" s="63"/>
      <c r="F36" s="63"/>
      <c r="G36" s="10"/>
    </row>
    <row r="37" spans="1:10" ht="15.75">
      <c r="A37" s="45"/>
      <c r="B37" s="63"/>
      <c r="C37" s="63"/>
      <c r="D37" s="63"/>
      <c r="E37" s="63"/>
      <c r="F37" s="63"/>
    </row>
  </sheetData>
  <mergeCells count="3">
    <mergeCell ref="A1:M1"/>
    <mergeCell ref="A2:M2"/>
    <mergeCell ref="A3:M3"/>
  </mergeCells>
  <pageMargins left="0.5" right="1.5" top="0.5" bottom="0.5" header="0.3" footer="0.3"/>
  <pageSetup paperSize="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topLeftCell="C13" zoomScale="118" zoomScaleNormal="118" workbookViewId="0">
      <selection activeCell="J14" sqref="J14"/>
    </sheetView>
  </sheetViews>
  <sheetFormatPr defaultColWidth="10.85546875" defaultRowHeight="15"/>
  <cols>
    <col min="1" max="1" width="16.28515625" customWidth="1"/>
    <col min="2" max="13" width="10.28515625" customWidth="1"/>
    <col min="14" max="14" width="11.85546875" customWidth="1"/>
  </cols>
  <sheetData>
    <row r="1" spans="1:14" ht="20.2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ht="15.75">
      <c r="A2" s="344" t="s">
        <v>115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15.75">
      <c r="A3" s="342" t="s">
        <v>567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5" spans="1:14" ht="21" customHeight="1" thickBot="1">
      <c r="A5" s="135"/>
      <c r="B5" s="135" t="s">
        <v>2</v>
      </c>
      <c r="C5" s="135" t="s">
        <v>75</v>
      </c>
      <c r="D5" s="135" t="s">
        <v>51</v>
      </c>
      <c r="E5" s="135" t="s">
        <v>5</v>
      </c>
      <c r="F5" s="135" t="s">
        <v>6</v>
      </c>
      <c r="G5" s="135" t="s">
        <v>7</v>
      </c>
      <c r="H5" s="135" t="s">
        <v>8</v>
      </c>
      <c r="I5" s="135" t="s">
        <v>93</v>
      </c>
      <c r="J5" s="135" t="s">
        <v>77</v>
      </c>
      <c r="K5" s="135" t="s">
        <v>116</v>
      </c>
      <c r="L5" s="135" t="s">
        <v>54</v>
      </c>
      <c r="M5" s="135" t="s">
        <v>55</v>
      </c>
      <c r="N5" s="135" t="s">
        <v>14</v>
      </c>
    </row>
    <row r="6" spans="1:14">
      <c r="A6" s="134" t="s">
        <v>80</v>
      </c>
      <c r="B6" s="149">
        <f>Rates!B7*Connection!B16</f>
        <v>1303079</v>
      </c>
      <c r="C6" s="149">
        <f>Rates!C7*Connection!C16</f>
        <v>1316538.5</v>
      </c>
      <c r="D6" s="149">
        <f>Rates!D7*Connection!D16</f>
        <v>1326508.5</v>
      </c>
      <c r="E6" s="149">
        <f>Rates!E7*Connection!E16</f>
        <v>1333986</v>
      </c>
      <c r="F6" s="149">
        <f>Rates!F7*Connection!F16</f>
        <v>1351932</v>
      </c>
      <c r="G6" s="149">
        <f>Rates!G7*Connection!G16</f>
        <v>1371872</v>
      </c>
      <c r="H6" s="149">
        <f>Rates!H7*Connection!H16</f>
        <v>1384334.5</v>
      </c>
      <c r="I6" s="149">
        <f>Rates!I7*Connection!I16</f>
        <v>1398292.5</v>
      </c>
      <c r="J6" s="149">
        <f>Rates!J7*Connection!J16</f>
        <v>1409758</v>
      </c>
      <c r="K6" s="149">
        <f>Rates!K7*Connection!K16</f>
        <v>1417235.5</v>
      </c>
      <c r="L6" s="149">
        <f>Rates!L7*Connection!L16</f>
        <v>1425211.5</v>
      </c>
      <c r="M6" s="149">
        <f>Rates!M7*Connection!M16</f>
        <v>1432689</v>
      </c>
      <c r="N6" s="149">
        <f t="shared" ref="N6:N13" si="0">SUM(B6:M6)</f>
        <v>16471437</v>
      </c>
    </row>
    <row r="7" spans="1:14">
      <c r="A7" s="130" t="s">
        <v>81</v>
      </c>
      <c r="B7" s="148">
        <f>Rates!B8*Connection!B17</f>
        <v>21164</v>
      </c>
      <c r="C7" s="148">
        <f>Rates!C8*Connection!C17</f>
        <v>23088</v>
      </c>
      <c r="D7" s="148">
        <f>Rates!D8*Connection!D17</f>
        <v>25012</v>
      </c>
      <c r="E7" s="148">
        <f>Rates!E8*Connection!E17</f>
        <v>26936</v>
      </c>
      <c r="F7" s="148">
        <f>Rates!F8*Connection!F17</f>
        <v>28860</v>
      </c>
      <c r="G7" s="148">
        <f>Rates!G8*Connection!G17</f>
        <v>30784</v>
      </c>
      <c r="H7" s="148">
        <f>Rates!H8*Connection!H17</f>
        <v>30784</v>
      </c>
      <c r="I7" s="148">
        <f>Rates!I8*Connection!I17</f>
        <v>32708</v>
      </c>
      <c r="J7" s="148">
        <f>Rates!J8*Connection!J17</f>
        <v>34632</v>
      </c>
      <c r="K7" s="148">
        <f>Rates!K8*Connection!K17</f>
        <v>36556</v>
      </c>
      <c r="L7" s="148">
        <f>Rates!L8*Connection!L17</f>
        <v>38480</v>
      </c>
      <c r="M7" s="148">
        <f>Rates!M8*Connection!M17</f>
        <v>40404</v>
      </c>
      <c r="N7" s="232">
        <f t="shared" si="0"/>
        <v>369408</v>
      </c>
    </row>
    <row r="8" spans="1:14">
      <c r="A8" s="130" t="s">
        <v>82</v>
      </c>
      <c r="B8" s="148">
        <f>Rates!B9*Connection!B18</f>
        <v>113547.5</v>
      </c>
      <c r="C8" s="148">
        <f>Rates!C9*Connection!C18</f>
        <v>115612</v>
      </c>
      <c r="D8" s="148">
        <f>Rates!D9*Connection!D18</f>
        <v>116644.25</v>
      </c>
      <c r="E8" s="148">
        <f>Rates!E9*Connection!E18</f>
        <v>118708.75</v>
      </c>
      <c r="F8" s="148">
        <f>Rates!F9*Connection!F18</f>
        <v>120773.25</v>
      </c>
      <c r="G8" s="148">
        <f>Rates!G9*Connection!G18</f>
        <v>122837.75</v>
      </c>
      <c r="H8" s="148">
        <f>Rates!H9*Connection!H18</f>
        <v>124902.25</v>
      </c>
      <c r="I8" s="148">
        <f>Rates!I9*Connection!I18</f>
        <v>126966.75</v>
      </c>
      <c r="J8" s="148">
        <f>Rates!J9*Connection!J18</f>
        <v>129031.25</v>
      </c>
      <c r="K8" s="148">
        <f>Rates!K9*Connection!K18</f>
        <v>131095.75</v>
      </c>
      <c r="L8" s="148">
        <f>Rates!L9*Connection!L18</f>
        <v>132128</v>
      </c>
      <c r="M8" s="148">
        <f>Rates!M9*Connection!M18</f>
        <v>134192.5</v>
      </c>
      <c r="N8" s="148">
        <f t="shared" si="0"/>
        <v>1486440</v>
      </c>
    </row>
    <row r="9" spans="1:14">
      <c r="A9" s="130" t="s">
        <v>83</v>
      </c>
      <c r="B9" s="148">
        <f>Rates!B10*Connection!B19</f>
        <v>35400</v>
      </c>
      <c r="C9" s="148">
        <f>Rates!C10*Connection!C19</f>
        <v>36285</v>
      </c>
      <c r="D9" s="148">
        <f>Rates!D10*Connection!D19</f>
        <v>36285</v>
      </c>
      <c r="E9" s="148">
        <f>Rates!E10*Connection!E19</f>
        <v>37170</v>
      </c>
      <c r="F9" s="148">
        <f>Rates!F10*Connection!F19</f>
        <v>39825</v>
      </c>
      <c r="G9" s="148">
        <f>Rates!G10*Connection!G19</f>
        <v>42480</v>
      </c>
      <c r="H9" s="148">
        <f>Rates!H10*Connection!H19</f>
        <v>45135</v>
      </c>
      <c r="I9" s="148">
        <f>Rates!I10*Connection!I19</f>
        <v>47790</v>
      </c>
      <c r="J9" s="148">
        <f>Rates!J10*Connection!J19</f>
        <v>50445</v>
      </c>
      <c r="K9" s="148">
        <f>Rates!K10*Connection!K19</f>
        <v>49560</v>
      </c>
      <c r="L9" s="148">
        <f>Rates!L10*Connection!L19</f>
        <v>52215</v>
      </c>
      <c r="M9" s="148">
        <f>Rates!M10*Connection!M19</f>
        <v>53100</v>
      </c>
      <c r="N9" s="232">
        <f t="shared" si="0"/>
        <v>525690</v>
      </c>
    </row>
    <row r="10" spans="1:14">
      <c r="A10" s="130" t="s">
        <v>84</v>
      </c>
      <c r="B10" s="148">
        <f>Rates!B11*Connection!B20</f>
        <v>12847.679999999998</v>
      </c>
      <c r="C10" s="148">
        <f>Rates!C11*Connection!C20</f>
        <v>13382.999999999998</v>
      </c>
      <c r="D10" s="148">
        <f>Rates!D11*Connection!D20</f>
        <v>13918.319999999998</v>
      </c>
      <c r="E10" s="148">
        <f>Rates!E11*Connection!E20</f>
        <v>15524.279999999999</v>
      </c>
      <c r="F10" s="148">
        <f>Rates!F11*Connection!F20</f>
        <v>17130.239999999998</v>
      </c>
      <c r="G10" s="148">
        <f>Rates!G11*Connection!G20</f>
        <v>17665.559999999998</v>
      </c>
      <c r="H10" s="148">
        <f>Rates!H11*Connection!H20</f>
        <v>18200.879999999997</v>
      </c>
      <c r="I10" s="148">
        <f>Rates!I11*Connection!I20</f>
        <v>18736.199999999997</v>
      </c>
      <c r="J10" s="148">
        <f>Rates!J11*Connection!J20</f>
        <v>19271.519999999997</v>
      </c>
      <c r="K10" s="148">
        <f>Rates!K11*Connection!K20</f>
        <v>19806.839999999997</v>
      </c>
      <c r="L10" s="148">
        <f>Rates!L11*Connection!L20</f>
        <v>20342.159999999996</v>
      </c>
      <c r="M10" s="148">
        <f>Rates!M11*Connection!M20</f>
        <v>20877.479999999996</v>
      </c>
      <c r="N10" s="232">
        <f t="shared" si="0"/>
        <v>207704.15999999997</v>
      </c>
    </row>
    <row r="11" spans="1:14">
      <c r="A11" s="130" t="s">
        <v>85</v>
      </c>
      <c r="B11" s="148">
        <f>Rates!B12*Connection!B21</f>
        <v>12219.375</v>
      </c>
      <c r="C11" s="148">
        <f>Rates!C12*Connection!C21</f>
        <v>12718.125</v>
      </c>
      <c r="D11" s="148">
        <f>Rates!D12*Connection!D21</f>
        <v>12967.5</v>
      </c>
      <c r="E11" s="148">
        <f>Rates!E12*Connection!E21</f>
        <v>13466.25</v>
      </c>
      <c r="F11" s="148">
        <f>Rates!F12*Connection!F21</f>
        <v>13965</v>
      </c>
      <c r="G11" s="148">
        <f>Rates!G12*Connection!G21</f>
        <v>14463.75</v>
      </c>
      <c r="H11" s="148">
        <f>Rates!H12*Connection!H21</f>
        <v>14962.5</v>
      </c>
      <c r="I11" s="148">
        <f>Rates!I12*Connection!I21</f>
        <v>15461.25</v>
      </c>
      <c r="J11" s="148">
        <f>Rates!J12*Connection!J21</f>
        <v>15960</v>
      </c>
      <c r="K11" s="148">
        <f>Rates!K12*Connection!K21</f>
        <v>16458.75</v>
      </c>
      <c r="L11" s="148">
        <f>Rates!L12*Connection!L21</f>
        <v>16957.5</v>
      </c>
      <c r="M11" s="148">
        <f>Rates!M12*Connection!M21</f>
        <v>17456.25</v>
      </c>
      <c r="N11" s="232">
        <f t="shared" si="0"/>
        <v>177056.25</v>
      </c>
    </row>
    <row r="12" spans="1:14">
      <c r="A12" s="130" t="s">
        <v>86</v>
      </c>
      <c r="B12" s="148">
        <f>Rates!B13*Connection!B22</f>
        <v>1496.25</v>
      </c>
      <c r="C12" s="148">
        <f>Rates!C13*Connection!C22</f>
        <v>1710</v>
      </c>
      <c r="D12" s="148">
        <f>Rates!D13*Connection!D22</f>
        <v>2565</v>
      </c>
      <c r="E12" s="148">
        <f>Rates!E13*Connection!E22</f>
        <v>2778.75</v>
      </c>
      <c r="F12" s="148">
        <f>Rates!F13*Connection!F22</f>
        <v>3206.25</v>
      </c>
      <c r="G12" s="148">
        <f>Rates!G13*Connection!G22</f>
        <v>4275</v>
      </c>
      <c r="H12" s="148">
        <f>Rates!H13*Connection!H22</f>
        <v>4488.75</v>
      </c>
      <c r="I12" s="148">
        <f>Rates!I13*Connection!I22</f>
        <v>4702.5</v>
      </c>
      <c r="J12" s="148">
        <f>Rates!J13*Connection!J22</f>
        <v>4916.25</v>
      </c>
      <c r="K12" s="148">
        <f>Rates!K13*Connection!K22</f>
        <v>5130</v>
      </c>
      <c r="L12" s="148">
        <f>Rates!L13*Connection!L22</f>
        <v>5343.75</v>
      </c>
      <c r="M12" s="148">
        <f>Rates!M13*Connection!M22</f>
        <v>5557.5</v>
      </c>
      <c r="N12" s="232">
        <f t="shared" si="0"/>
        <v>46170</v>
      </c>
    </row>
    <row r="13" spans="1:14" ht="15.75" thickBot="1">
      <c r="A13" s="131" t="s">
        <v>87</v>
      </c>
      <c r="B13" s="233">
        <f>Rates!B14*Connection!B23</f>
        <v>1068.75</v>
      </c>
      <c r="C13" s="233">
        <f>Rates!C14*Connection!C23</f>
        <v>1425</v>
      </c>
      <c r="D13" s="233">
        <f>Rates!D14*Connection!D23</f>
        <v>1781.25</v>
      </c>
      <c r="E13" s="233">
        <f>Rates!E14*Connection!E23</f>
        <v>2137.5</v>
      </c>
      <c r="F13" s="233">
        <f>Rates!F14*Connection!F23</f>
        <v>2137.5</v>
      </c>
      <c r="G13" s="233">
        <f>Rates!G14*Connection!G23</f>
        <v>2850</v>
      </c>
      <c r="H13" s="233">
        <f>Rates!H14*Connection!H23</f>
        <v>3028.125</v>
      </c>
      <c r="I13" s="233">
        <f>Rates!I14*Connection!I23</f>
        <v>3384.375</v>
      </c>
      <c r="J13" s="233">
        <f>Rates!J14*Connection!J23</f>
        <v>3740.625</v>
      </c>
      <c r="K13" s="233">
        <f>Rates!K14*Connection!K23</f>
        <v>4096.875</v>
      </c>
      <c r="L13" s="233">
        <f>Rates!L14*Connection!L23</f>
        <v>4453.125</v>
      </c>
      <c r="M13" s="233">
        <f>Rates!M14*Connection!M23</f>
        <v>4809.375</v>
      </c>
      <c r="N13" s="234">
        <f t="shared" si="0"/>
        <v>34912.5</v>
      </c>
    </row>
    <row r="14" spans="1:14" ht="15.75" thickTop="1">
      <c r="A14" s="132" t="s">
        <v>117</v>
      </c>
      <c r="B14" s="139">
        <f t="shared" ref="B14:L14" si="1">SUM(B6:B13)</f>
        <v>1500822.5549999999</v>
      </c>
      <c r="C14" s="139">
        <f t="shared" si="1"/>
        <v>1520759.625</v>
      </c>
      <c r="D14" s="139">
        <f t="shared" si="1"/>
        <v>1535681.82</v>
      </c>
      <c r="E14" s="139">
        <f t="shared" si="1"/>
        <v>1550707.53</v>
      </c>
      <c r="F14" s="139">
        <f t="shared" si="1"/>
        <v>1577829.24</v>
      </c>
      <c r="G14" s="139">
        <f t="shared" si="1"/>
        <v>1607228.06</v>
      </c>
      <c r="H14" s="139">
        <f t="shared" si="1"/>
        <v>1625836.0049999999</v>
      </c>
      <c r="I14" s="139">
        <f t="shared" si="1"/>
        <v>1648041.575</v>
      </c>
      <c r="J14" s="139">
        <f t="shared" si="1"/>
        <v>1667754.645</v>
      </c>
      <c r="K14" s="139">
        <f t="shared" si="1"/>
        <v>1679939.7150000001</v>
      </c>
      <c r="L14" s="139">
        <f t="shared" si="1"/>
        <v>1695131.0349999999</v>
      </c>
      <c r="M14" s="139">
        <f>SUM(M6:M13)</f>
        <v>1709086.105</v>
      </c>
      <c r="N14" s="139">
        <f>SUM(N6:N13)</f>
        <v>19318817.91</v>
      </c>
    </row>
    <row r="15" spans="1:14">
      <c r="A15" s="130" t="s">
        <v>118</v>
      </c>
      <c r="B15" s="148">
        <f t="shared" ref="B15:M15" si="2">SUM(B14*B16)</f>
        <v>37520.563875</v>
      </c>
      <c r="C15" s="148">
        <f t="shared" si="2"/>
        <v>38018.990624999999</v>
      </c>
      <c r="D15" s="148">
        <f t="shared" si="2"/>
        <v>38392.0455</v>
      </c>
      <c r="E15" s="148">
        <f t="shared" si="2"/>
        <v>38767.688249999999</v>
      </c>
      <c r="F15" s="148">
        <f t="shared" si="2"/>
        <v>39445.731</v>
      </c>
      <c r="G15" s="148">
        <f t="shared" si="2"/>
        <v>40180.701500000003</v>
      </c>
      <c r="H15" s="148">
        <f t="shared" si="2"/>
        <v>40645.900125</v>
      </c>
      <c r="I15" s="148">
        <f t="shared" si="2"/>
        <v>41201.039375</v>
      </c>
      <c r="J15" s="148">
        <f t="shared" si="2"/>
        <v>41693.866125</v>
      </c>
      <c r="K15" s="148">
        <f t="shared" si="2"/>
        <v>41998.492875000004</v>
      </c>
      <c r="L15" s="148">
        <f t="shared" si="2"/>
        <v>42378.275874999999</v>
      </c>
      <c r="M15" s="148">
        <f t="shared" si="2"/>
        <v>42727.152625000002</v>
      </c>
      <c r="N15" s="148">
        <f>SUM(B15:M15)</f>
        <v>482970.44774999999</v>
      </c>
    </row>
    <row r="16" spans="1:14">
      <c r="A16" s="130" t="s">
        <v>119</v>
      </c>
      <c r="B16" s="133">
        <v>2.5000000000000001E-2</v>
      </c>
      <c r="C16" s="133">
        <v>2.5000000000000001E-2</v>
      </c>
      <c r="D16" s="133">
        <v>2.5000000000000001E-2</v>
      </c>
      <c r="E16" s="133">
        <v>2.5000000000000001E-2</v>
      </c>
      <c r="F16" s="133">
        <v>2.5000000000000001E-2</v>
      </c>
      <c r="G16" s="133">
        <v>2.5000000000000001E-2</v>
      </c>
      <c r="H16" s="133">
        <v>2.5000000000000001E-2</v>
      </c>
      <c r="I16" s="133">
        <v>2.5000000000000001E-2</v>
      </c>
      <c r="J16" s="133">
        <v>2.5000000000000001E-2</v>
      </c>
      <c r="K16" s="133">
        <v>2.5000000000000001E-2</v>
      </c>
      <c r="L16" s="133">
        <v>2.5000000000000001E-2</v>
      </c>
      <c r="M16" s="133">
        <v>2.5000000000000001E-2</v>
      </c>
      <c r="N16" s="133">
        <v>2.5000000000000001E-2</v>
      </c>
    </row>
    <row r="17" spans="1: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5">
      <c r="A18" s="42" t="s">
        <v>695</v>
      </c>
      <c r="B18" s="69"/>
      <c r="C18" s="70"/>
      <c r="D18" s="69"/>
      <c r="E18" s="70"/>
      <c r="F18" s="69"/>
      <c r="G18" s="70"/>
      <c r="H18" s="69"/>
      <c r="I18" s="70"/>
      <c r="J18" s="69"/>
      <c r="K18" s="70"/>
      <c r="L18" s="69"/>
      <c r="M18" s="70"/>
      <c r="N18" s="69"/>
    </row>
    <row r="19" spans="1:15">
      <c r="A19" s="210" t="s">
        <v>120</v>
      </c>
      <c r="B19" s="151">
        <v>1096967.3500000001</v>
      </c>
      <c r="C19" s="151">
        <v>1114323.2</v>
      </c>
      <c r="D19" s="151">
        <v>1125191.3999999999</v>
      </c>
      <c r="E19" s="151">
        <v>1200023.95</v>
      </c>
      <c r="F19" s="151">
        <v>1277107.77</v>
      </c>
      <c r="G19" s="151">
        <v>1266703.1299999999</v>
      </c>
      <c r="H19" s="151">
        <v>1244274.71</v>
      </c>
      <c r="I19" s="151">
        <v>1267187.76</v>
      </c>
      <c r="J19" s="151">
        <v>1236202.3</v>
      </c>
      <c r="K19" s="151">
        <v>1246737.8</v>
      </c>
      <c r="L19" s="151">
        <v>1257772.3500000001</v>
      </c>
      <c r="M19" s="151">
        <v>1267531.55</v>
      </c>
      <c r="N19" s="151">
        <f t="shared" ref="N19:N20" si="3">SUM(B19:M19)</f>
        <v>14600023.270000001</v>
      </c>
      <c r="O19" s="167"/>
    </row>
    <row r="20" spans="1:15">
      <c r="A20" s="210" t="s">
        <v>121</v>
      </c>
      <c r="B20" s="151">
        <v>27424.18</v>
      </c>
      <c r="C20" s="151">
        <v>27858.080000000002</v>
      </c>
      <c r="D20" s="151">
        <v>28129.79</v>
      </c>
      <c r="E20" s="151">
        <v>30000.6</v>
      </c>
      <c r="F20" s="151">
        <v>31297.69</v>
      </c>
      <c r="G20" s="151">
        <v>31667.58</v>
      </c>
      <c r="H20" s="151">
        <v>31106.87</v>
      </c>
      <c r="I20" s="151">
        <v>31679.69</v>
      </c>
      <c r="J20" s="151">
        <v>30905.06</v>
      </c>
      <c r="K20" s="151">
        <v>31168.45</v>
      </c>
      <c r="L20" s="151">
        <v>31444.31</v>
      </c>
      <c r="M20" s="151">
        <v>31688.29</v>
      </c>
      <c r="N20" s="151">
        <f t="shared" si="3"/>
        <v>364370.58999999997</v>
      </c>
    </row>
    <row r="21" spans="1:15">
      <c r="A21" s="71"/>
      <c r="B21" s="136"/>
      <c r="C21" s="137"/>
      <c r="D21" s="136"/>
      <c r="E21" s="137"/>
      <c r="F21" s="136"/>
      <c r="G21" s="137"/>
      <c r="H21" s="136"/>
      <c r="I21" s="137"/>
      <c r="J21" s="136"/>
      <c r="K21" s="137"/>
      <c r="L21" s="136"/>
      <c r="M21" s="137"/>
      <c r="N21" s="136"/>
    </row>
    <row r="22" spans="1:15">
      <c r="A22" s="211" t="s">
        <v>122</v>
      </c>
      <c r="B22" s="151">
        <v>1164659.0900000001</v>
      </c>
      <c r="C22" s="151">
        <v>1158431.03</v>
      </c>
      <c r="D22" s="151">
        <v>1128593.95</v>
      </c>
      <c r="E22" s="151">
        <v>1313602.79</v>
      </c>
      <c r="F22" s="151">
        <v>1307432.8799999999</v>
      </c>
      <c r="G22" s="151">
        <v>1421099.11</v>
      </c>
      <c r="H22" s="151">
        <v>1526391.3</v>
      </c>
      <c r="I22" s="151">
        <v>1518276.28</v>
      </c>
      <c r="J22" s="151">
        <v>1538257.88</v>
      </c>
      <c r="K22" s="151">
        <v>1491832.43</v>
      </c>
      <c r="L22" s="151"/>
      <c r="M22" s="151"/>
      <c r="N22" s="151">
        <f>SUM(B22:M22)</f>
        <v>13568576.739999998</v>
      </c>
      <c r="O22" s="167"/>
    </row>
    <row r="23" spans="1:15">
      <c r="A23" s="212" t="s">
        <v>355</v>
      </c>
      <c r="B23" s="213">
        <v>40009.050000000003</v>
      </c>
      <c r="C23" s="213">
        <v>41017.14</v>
      </c>
      <c r="D23" s="213">
        <v>38432.89</v>
      </c>
      <c r="E23" s="213">
        <v>48618.15</v>
      </c>
      <c r="F23" s="213">
        <v>47968.07</v>
      </c>
      <c r="G23" s="213">
        <v>50249.1</v>
      </c>
      <c r="H23" s="213">
        <v>56071.1</v>
      </c>
      <c r="I23" s="213">
        <v>55116.89</v>
      </c>
      <c r="J23" s="213">
        <v>57106.04</v>
      </c>
      <c r="K23" s="213">
        <v>50685.23</v>
      </c>
      <c r="L23" s="151"/>
      <c r="M23" s="151"/>
      <c r="N23" s="151">
        <f>SUM(B23:M23)</f>
        <v>485273.66</v>
      </c>
    </row>
    <row r="24" spans="1:15">
      <c r="A24" s="2"/>
      <c r="D24" s="2"/>
    </row>
    <row r="25" spans="1:15">
      <c r="J25" s="2"/>
    </row>
    <row r="29" spans="1:15">
      <c r="A29" s="2" t="s">
        <v>35</v>
      </c>
      <c r="E29" s="2" t="s">
        <v>36</v>
      </c>
      <c r="K29" s="2" t="s">
        <v>34</v>
      </c>
    </row>
    <row r="30" spans="1:15">
      <c r="K30" t="s">
        <v>37</v>
      </c>
    </row>
    <row r="31" spans="1:15">
      <c r="A31" s="2" t="s">
        <v>72</v>
      </c>
      <c r="E31" s="2" t="s">
        <v>39</v>
      </c>
    </row>
    <row r="32" spans="1:15">
      <c r="A32" t="s">
        <v>755</v>
      </c>
      <c r="E32" s="10" t="s">
        <v>756</v>
      </c>
      <c r="K32" s="2" t="s">
        <v>714</v>
      </c>
    </row>
    <row r="33" spans="10:11">
      <c r="K33" t="s">
        <v>123</v>
      </c>
    </row>
    <row r="35" spans="10:11">
      <c r="J35" s="10"/>
    </row>
    <row r="36" spans="10:11">
      <c r="J36" s="10"/>
    </row>
  </sheetData>
  <mergeCells count="3">
    <mergeCell ref="A1:N1"/>
    <mergeCell ref="A2:N2"/>
    <mergeCell ref="A3:N3"/>
  </mergeCells>
  <pageMargins left="0.5" right="1.5" top="0.5" bottom="0.5" header="0.3" footer="0.3"/>
  <pageSetup paperSize="5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F17" sqref="F17"/>
    </sheetView>
  </sheetViews>
  <sheetFormatPr defaultColWidth="12.140625" defaultRowHeight="15"/>
  <cols>
    <col min="1" max="1" width="25" customWidth="1"/>
    <col min="2" max="13" width="9.7109375" customWidth="1"/>
    <col min="14" max="14" width="10.85546875" customWidth="1"/>
    <col min="15" max="15" width="13.42578125" customWidth="1"/>
  </cols>
  <sheetData>
    <row r="1" spans="1:14" ht="20.2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ht="15.75">
      <c r="A2" s="344" t="s">
        <v>124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15.75">
      <c r="A3" s="342" t="s">
        <v>567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6" spans="1:14" s="10" customFormat="1" ht="12.75">
      <c r="A6" s="68" t="s">
        <v>125</v>
      </c>
      <c r="B6" s="38" t="s">
        <v>126</v>
      </c>
      <c r="C6" s="38" t="s">
        <v>75</v>
      </c>
      <c r="D6" s="38" t="s">
        <v>51</v>
      </c>
      <c r="E6" s="38" t="s">
        <v>127</v>
      </c>
      <c r="F6" s="38" t="s">
        <v>6</v>
      </c>
      <c r="G6" s="38" t="s">
        <v>7</v>
      </c>
      <c r="H6" s="38" t="s">
        <v>53</v>
      </c>
      <c r="I6" s="38" t="s">
        <v>93</v>
      </c>
      <c r="J6" s="38" t="s">
        <v>10</v>
      </c>
      <c r="K6" s="38" t="s">
        <v>116</v>
      </c>
      <c r="L6" s="38" t="s">
        <v>54</v>
      </c>
      <c r="M6" s="38" t="s">
        <v>13</v>
      </c>
      <c r="N6" s="38" t="s">
        <v>128</v>
      </c>
    </row>
    <row r="7" spans="1:14" s="10" customFormat="1" ht="18" customHeight="1">
      <c r="A7" s="57" t="s">
        <v>129</v>
      </c>
      <c r="B7" s="139">
        <f>Sales!B14</f>
        <v>1500822.5549999999</v>
      </c>
      <c r="C7" s="139">
        <f>Sales!C14</f>
        <v>1520759.625</v>
      </c>
      <c r="D7" s="139">
        <f>Sales!D14</f>
        <v>1535681.82</v>
      </c>
      <c r="E7" s="139">
        <f>Sales!E14</f>
        <v>1550707.53</v>
      </c>
      <c r="F7" s="139">
        <f>Sales!F14</f>
        <v>1577829.24</v>
      </c>
      <c r="G7" s="139">
        <f>Sales!G14</f>
        <v>1607228.06</v>
      </c>
      <c r="H7" s="139">
        <f>Sales!H14</f>
        <v>1625836.0049999999</v>
      </c>
      <c r="I7" s="139">
        <f>Sales!I14</f>
        <v>1648041.575</v>
      </c>
      <c r="J7" s="139">
        <f>Sales!J14</f>
        <v>1667754.645</v>
      </c>
      <c r="K7" s="139">
        <f>Sales!K14</f>
        <v>1679939.7150000001</v>
      </c>
      <c r="L7" s="139">
        <f>Sales!L14</f>
        <v>1695131.0349999999</v>
      </c>
      <c r="M7" s="139">
        <f>Sales!M14</f>
        <v>1709086.105</v>
      </c>
      <c r="N7" s="139">
        <f>SUM(B7:M7)</f>
        <v>19318817.91</v>
      </c>
    </row>
    <row r="8" spans="1:14" s="10" customFormat="1" ht="18" customHeight="1">
      <c r="A8" s="2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s="10" customFormat="1" ht="18" customHeight="1">
      <c r="A9" s="32" t="s">
        <v>130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s="10" customFormat="1" ht="18" customHeight="1">
      <c r="A10" s="32" t="s">
        <v>131</v>
      </c>
      <c r="B10" s="148">
        <f>Sales!B15</f>
        <v>37520.563875</v>
      </c>
      <c r="C10" s="148">
        <f>Sales!C15</f>
        <v>38018.990624999999</v>
      </c>
      <c r="D10" s="148">
        <f>Sales!D15</f>
        <v>38392.0455</v>
      </c>
      <c r="E10" s="148">
        <f>Sales!E15</f>
        <v>38767.688249999999</v>
      </c>
      <c r="F10" s="148">
        <f>Sales!F15</f>
        <v>39445.731</v>
      </c>
      <c r="G10" s="148">
        <f>Sales!G15</f>
        <v>40180.701500000003</v>
      </c>
      <c r="H10" s="148">
        <f>Sales!H15</f>
        <v>40645.900125</v>
      </c>
      <c r="I10" s="148">
        <f>Sales!I15</f>
        <v>41201.039375</v>
      </c>
      <c r="J10" s="148">
        <f>Sales!J15</f>
        <v>41693.866125</v>
      </c>
      <c r="K10" s="148">
        <f>Sales!K15</f>
        <v>41998.492875000004</v>
      </c>
      <c r="L10" s="148">
        <f>Sales!L15</f>
        <v>42378.275874999999</v>
      </c>
      <c r="M10" s="148">
        <f>Sales!M15</f>
        <v>42727.152625000002</v>
      </c>
      <c r="N10" s="148">
        <f>SUM(B10:M10)</f>
        <v>482970.44774999999</v>
      </c>
    </row>
    <row r="11" spans="1:14" s="10" customFormat="1" ht="18" customHeight="1">
      <c r="A11" s="32" t="s">
        <v>132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s="10" customFormat="1" ht="18" customHeight="1">
      <c r="A12" s="32" t="s">
        <v>133</v>
      </c>
      <c r="B12" s="139">
        <f>Computation!B17</f>
        <v>29250</v>
      </c>
      <c r="C12" s="139">
        <f>Computation!C17</f>
        <v>37440</v>
      </c>
      <c r="D12" s="139">
        <f>Computation!D17</f>
        <v>29250</v>
      </c>
      <c r="E12" s="139">
        <f>Computation!E17</f>
        <v>46800</v>
      </c>
      <c r="F12" s="139">
        <f>Computation!F17</f>
        <v>51480</v>
      </c>
      <c r="G12" s="139">
        <f>Computation!G17</f>
        <v>62010</v>
      </c>
      <c r="H12" s="139">
        <f>Computation!H17</f>
        <v>35100</v>
      </c>
      <c r="I12" s="139">
        <f>Computation!I17</f>
        <v>40950</v>
      </c>
      <c r="J12" s="139">
        <f>Computation!J17</f>
        <v>35100</v>
      </c>
      <c r="K12" s="139">
        <f>Computation!K17</f>
        <v>23400</v>
      </c>
      <c r="L12" s="139">
        <f>Computation!L17</f>
        <v>23400</v>
      </c>
      <c r="M12" s="139">
        <f>Computation!M17</f>
        <v>23400</v>
      </c>
      <c r="N12" s="139">
        <f>SUM(B12:M12)</f>
        <v>437580</v>
      </c>
    </row>
    <row r="13" spans="1:14" s="10" customFormat="1" ht="18" customHeight="1">
      <c r="A13" s="32" t="s">
        <v>134</v>
      </c>
      <c r="B13" s="139">
        <f>Computation!B27</f>
        <v>20250</v>
      </c>
      <c r="C13" s="139">
        <f>Computation!C27</f>
        <v>24800</v>
      </c>
      <c r="D13" s="139">
        <f>Computation!D27</f>
        <v>20250</v>
      </c>
      <c r="E13" s="139">
        <f>Computation!E27</f>
        <v>30000</v>
      </c>
      <c r="F13" s="139">
        <f>Computation!F27</f>
        <v>32600</v>
      </c>
      <c r="G13" s="139">
        <f>Computation!G27</f>
        <v>38450</v>
      </c>
      <c r="H13" s="139">
        <f>Computation!H27</f>
        <v>23500</v>
      </c>
      <c r="I13" s="139">
        <f>Computation!I27</f>
        <v>26750</v>
      </c>
      <c r="J13" s="139">
        <f>Computation!J27</f>
        <v>23500</v>
      </c>
      <c r="K13" s="139">
        <f>Computation!K27</f>
        <v>17000</v>
      </c>
      <c r="L13" s="139">
        <f>Computation!L27</f>
        <v>17000</v>
      </c>
      <c r="M13" s="139">
        <f>Computation!M27</f>
        <v>17000</v>
      </c>
      <c r="N13" s="139">
        <f>SUM(B13:M13)</f>
        <v>291100</v>
      </c>
    </row>
    <row r="14" spans="1:14" s="10" customFormat="1" ht="18" customHeight="1">
      <c r="A14" s="32" t="s">
        <v>135</v>
      </c>
      <c r="B14" s="139">
        <f>Computation!B35</f>
        <v>1000</v>
      </c>
      <c r="C14" s="139">
        <f>Computation!C35</f>
        <v>1000</v>
      </c>
      <c r="D14" s="139">
        <f>Computation!D35</f>
        <v>1000</v>
      </c>
      <c r="E14" s="139">
        <f>Computation!E35</f>
        <v>1000</v>
      </c>
      <c r="F14" s="139">
        <f>Computation!F35</f>
        <v>1000</v>
      </c>
      <c r="G14" s="139">
        <f>Computation!G35</f>
        <v>1000</v>
      </c>
      <c r="H14" s="139">
        <f>Computation!H35</f>
        <v>1000</v>
      </c>
      <c r="I14" s="139">
        <f>Computation!I35</f>
        <v>1000</v>
      </c>
      <c r="J14" s="139">
        <f>Computation!J35</f>
        <v>1000</v>
      </c>
      <c r="K14" s="139">
        <f>Computation!K35</f>
        <v>1000</v>
      </c>
      <c r="L14" s="139">
        <f>Computation!L35</f>
        <v>1000</v>
      </c>
      <c r="M14" s="139">
        <f>Computation!M35</f>
        <v>1000</v>
      </c>
      <c r="N14" s="139">
        <f>SUM(B14:M14)</f>
        <v>12000</v>
      </c>
    </row>
    <row r="15" spans="1:14" s="10" customFormat="1" ht="18" customHeight="1" thickBot="1">
      <c r="A15" s="32" t="s">
        <v>136</v>
      </c>
      <c r="B15" s="150">
        <f>Computation!B37</f>
        <v>250</v>
      </c>
      <c r="C15" s="150">
        <f>Computation!C37</f>
        <v>250</v>
      </c>
      <c r="D15" s="150">
        <f>Computation!D37</f>
        <v>250</v>
      </c>
      <c r="E15" s="150">
        <f>Computation!E37</f>
        <v>250</v>
      </c>
      <c r="F15" s="150">
        <f>Computation!F37</f>
        <v>250</v>
      </c>
      <c r="G15" s="150">
        <f>Computation!G37</f>
        <v>250</v>
      </c>
      <c r="H15" s="150">
        <f>Computation!H37</f>
        <v>250</v>
      </c>
      <c r="I15" s="150">
        <f>Computation!I37</f>
        <v>250</v>
      </c>
      <c r="J15" s="150">
        <f>Computation!J37</f>
        <v>250</v>
      </c>
      <c r="K15" s="150">
        <f>Computation!K37</f>
        <v>250</v>
      </c>
      <c r="L15" s="150">
        <f>Computation!L37</f>
        <v>250</v>
      </c>
      <c r="M15" s="150">
        <f>Computation!M37</f>
        <v>250</v>
      </c>
      <c r="N15" s="150">
        <f>SUM(B15:M15)</f>
        <v>3000</v>
      </c>
    </row>
    <row r="16" spans="1:14" s="10" customFormat="1" ht="22.5" customHeight="1" thickTop="1">
      <c r="A16" s="38" t="s">
        <v>559</v>
      </c>
      <c r="B16" s="149">
        <f t="shared" ref="B16:M16" si="0">SUM(B7:B15)</f>
        <v>1589093.1188749999</v>
      </c>
      <c r="C16" s="149">
        <f t="shared" si="0"/>
        <v>1622268.6156250001</v>
      </c>
      <c r="D16" s="149">
        <f t="shared" si="0"/>
        <v>1624823.8655000001</v>
      </c>
      <c r="E16" s="149">
        <f t="shared" si="0"/>
        <v>1667525.2182499999</v>
      </c>
      <c r="F16" s="149">
        <f t="shared" si="0"/>
        <v>1702604.9709999999</v>
      </c>
      <c r="G16" s="149">
        <f t="shared" si="0"/>
        <v>1749118.7615</v>
      </c>
      <c r="H16" s="149">
        <f t="shared" si="0"/>
        <v>1726331.9051249998</v>
      </c>
      <c r="I16" s="149">
        <f t="shared" si="0"/>
        <v>1758192.6143749999</v>
      </c>
      <c r="J16" s="149">
        <f t="shared" si="0"/>
        <v>1769298.511125</v>
      </c>
      <c r="K16" s="149">
        <f t="shared" si="0"/>
        <v>1763588.2078750001</v>
      </c>
      <c r="L16" s="149">
        <f t="shared" si="0"/>
        <v>1779159.310875</v>
      </c>
      <c r="M16" s="149">
        <f t="shared" si="0"/>
        <v>1793463.2576250001</v>
      </c>
      <c r="N16" s="149">
        <f>SUM(B16:M16)</f>
        <v>20545468.357749999</v>
      </c>
    </row>
    <row r="17" spans="1:15"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5" ht="21.75" customHeight="1">
      <c r="A18" s="42" t="s">
        <v>696</v>
      </c>
      <c r="B18" s="142">
        <v>1166041.53</v>
      </c>
      <c r="C18" s="143">
        <v>1211131.28</v>
      </c>
      <c r="D18" s="142">
        <v>1194971.19</v>
      </c>
      <c r="E18" s="143">
        <v>1298974.55</v>
      </c>
      <c r="F18" s="142">
        <v>1423485.46</v>
      </c>
      <c r="G18" s="143">
        <v>1394620.71</v>
      </c>
      <c r="H18" s="142">
        <v>1326131.58</v>
      </c>
      <c r="I18" s="143">
        <v>1358717.45</v>
      </c>
      <c r="J18" s="142">
        <v>1308757.3600000001</v>
      </c>
      <c r="K18" s="143">
        <v>1315916.25</v>
      </c>
      <c r="L18" s="142">
        <v>1327226.6599999999</v>
      </c>
      <c r="M18" s="143">
        <v>1333589.8400000001</v>
      </c>
      <c r="N18" s="144">
        <f>SUM(B18:M18)</f>
        <v>15659563.859999999</v>
      </c>
      <c r="O18" s="8">
        <f>SUM(B18:J18)</f>
        <v>11682831.109999999</v>
      </c>
    </row>
    <row r="19" spans="1:15" ht="21" customHeight="1">
      <c r="A19" s="33" t="s">
        <v>137</v>
      </c>
      <c r="B19" s="145">
        <v>1261262.1299999999</v>
      </c>
      <c r="C19" s="146">
        <v>1254209.22</v>
      </c>
      <c r="D19" s="145">
        <v>1237129.8</v>
      </c>
      <c r="E19" s="146">
        <v>1435364.55</v>
      </c>
      <c r="F19" s="145">
        <v>1477433.7</v>
      </c>
      <c r="G19" s="146">
        <v>1608816.29</v>
      </c>
      <c r="H19" s="145">
        <v>1686212.75</v>
      </c>
      <c r="I19" s="146">
        <v>1645804.34</v>
      </c>
      <c r="J19" s="145">
        <v>1656839.92</v>
      </c>
      <c r="K19" s="146">
        <v>1623186.1</v>
      </c>
      <c r="L19" s="145"/>
      <c r="M19" s="146"/>
      <c r="N19" s="147">
        <f>SUM(B19:M19)</f>
        <v>14886258.799999999</v>
      </c>
      <c r="O19" s="8">
        <f>SUM(B19:J19)</f>
        <v>13263072.699999999</v>
      </c>
    </row>
    <row r="22" spans="1:15">
      <c r="A22" s="2" t="s">
        <v>35</v>
      </c>
      <c r="D22" s="2" t="s">
        <v>89</v>
      </c>
      <c r="J22" s="2" t="s">
        <v>34</v>
      </c>
    </row>
    <row r="23" spans="1:15">
      <c r="J23" t="s">
        <v>37</v>
      </c>
    </row>
    <row r="24" spans="1:15">
      <c r="A24" s="2" t="s">
        <v>72</v>
      </c>
      <c r="D24" s="2" t="s">
        <v>39</v>
      </c>
    </row>
    <row r="25" spans="1:15">
      <c r="A25" t="s">
        <v>755</v>
      </c>
      <c r="D25" s="10" t="s">
        <v>756</v>
      </c>
      <c r="J25" s="2" t="s">
        <v>714</v>
      </c>
    </row>
    <row r="26" spans="1:15">
      <c r="J26" t="s">
        <v>139</v>
      </c>
    </row>
    <row r="29" spans="1:15">
      <c r="K29" s="10"/>
      <c r="M29" s="10"/>
    </row>
  </sheetData>
  <mergeCells count="3">
    <mergeCell ref="A1:N1"/>
    <mergeCell ref="A2:N2"/>
    <mergeCell ref="A3:N3"/>
  </mergeCells>
  <pageMargins left="0.5" right="1.5" top="0.5" bottom="0.5" header="0.3" footer="0.3"/>
  <pageSetup paperSize="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G20" sqref="G20"/>
    </sheetView>
  </sheetViews>
  <sheetFormatPr defaultRowHeight="15"/>
  <cols>
    <col min="1" max="1" width="26.140625" customWidth="1"/>
    <col min="2" max="14" width="9.7109375" customWidth="1"/>
    <col min="15" max="15" width="12.28515625" customWidth="1"/>
  </cols>
  <sheetData>
    <row r="1" spans="1:14" ht="20.2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ht="15.75">
      <c r="A2" s="344" t="s">
        <v>140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15.75">
      <c r="A3" s="342" t="s">
        <v>567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6" spans="1:14" ht="20.25" customHeight="1">
      <c r="A6" s="74" t="s">
        <v>141</v>
      </c>
      <c r="B6" s="75" t="s">
        <v>126</v>
      </c>
      <c r="C6" s="76" t="s">
        <v>75</v>
      </c>
      <c r="D6" s="76" t="s">
        <v>51</v>
      </c>
      <c r="E6" s="76" t="s">
        <v>127</v>
      </c>
      <c r="F6" s="76" t="s">
        <v>6</v>
      </c>
      <c r="G6" s="76" t="s">
        <v>7</v>
      </c>
      <c r="H6" s="76" t="s">
        <v>53</v>
      </c>
      <c r="I6" s="76" t="s">
        <v>93</v>
      </c>
      <c r="J6" s="76" t="s">
        <v>10</v>
      </c>
      <c r="K6" s="76" t="s">
        <v>116</v>
      </c>
      <c r="L6" s="76" t="s">
        <v>54</v>
      </c>
      <c r="M6" s="76" t="s">
        <v>13</v>
      </c>
      <c r="N6" s="76" t="s">
        <v>128</v>
      </c>
    </row>
    <row r="7" spans="1:14">
      <c r="A7" s="104" t="s">
        <v>142</v>
      </c>
      <c r="C7" s="69"/>
      <c r="E7" s="69"/>
      <c r="G7" s="69"/>
      <c r="I7" s="69"/>
      <c r="K7" s="69"/>
      <c r="M7" s="69"/>
      <c r="N7" s="69"/>
    </row>
    <row r="8" spans="1:14">
      <c r="A8" s="104" t="s">
        <v>143</v>
      </c>
      <c r="B8" s="151">
        <f>Revenues!B7*Computation!B7</f>
        <v>945518.20964999998</v>
      </c>
      <c r="C8" s="151">
        <f>Revenues!C7*Computation!C7</f>
        <v>958078.56374999997</v>
      </c>
      <c r="D8" s="151">
        <f>Revenues!D7*Computation!D7</f>
        <v>967479.5466</v>
      </c>
      <c r="E8" s="151">
        <f>Revenues!E7*Computation!E7</f>
        <v>976945.7439</v>
      </c>
      <c r="F8" s="151">
        <f>Revenues!F7*Computation!F7</f>
        <v>994032.42119999998</v>
      </c>
      <c r="G8" s="151">
        <f>Revenues!G7*Computation!G7</f>
        <v>1012553.6778000001</v>
      </c>
      <c r="H8" s="151">
        <f>Revenues!H7*Computation!H7</f>
        <v>1024276.6831499999</v>
      </c>
      <c r="I8" s="151">
        <f>Revenues!I7*Computation!I7</f>
        <v>1038266.19225</v>
      </c>
      <c r="J8" s="151">
        <f>Revenues!J7*Computation!J7</f>
        <v>1050685.4263500001</v>
      </c>
      <c r="K8" s="151">
        <f>Revenues!K7*Computation!K7</f>
        <v>1058362.02045</v>
      </c>
      <c r="L8" s="151">
        <f>Revenues!L7*Computation!L7</f>
        <v>1067932.5520500001</v>
      </c>
      <c r="M8" s="151">
        <f>Revenues!M7*Computation!M7</f>
        <v>1076724.24615</v>
      </c>
      <c r="N8" s="151">
        <f>SUM(B8:M8)</f>
        <v>12170855.283299999</v>
      </c>
    </row>
    <row r="9" spans="1:14">
      <c r="A9" s="104" t="s">
        <v>144</v>
      </c>
      <c r="B9" s="151">
        <v>100000</v>
      </c>
      <c r="C9" s="151">
        <v>150000</v>
      </c>
      <c r="D9" s="151">
        <f>(Revenues!D7-Receipts!D8+Revenues!D10)*Computation!D8</f>
        <v>545934.88701000006</v>
      </c>
      <c r="E9" s="151">
        <f>(Revenues!E7-Receipts!E8+Revenues!E10)*Computation!E8</f>
        <v>551276.52691500005</v>
      </c>
      <c r="F9" s="151">
        <f>(Revenues!F7-Receipts!F8+Revenues!F10)*Computation!F8</f>
        <v>560918.29482000007</v>
      </c>
      <c r="G9" s="151">
        <f>(Revenues!G7-Receipts!G8+Revenues!G10)*Computation!G8</f>
        <v>571369.57533000002</v>
      </c>
      <c r="H9" s="151">
        <f>(Revenues!H7-Receipts!H8+Revenues!H10)*Computation!H8</f>
        <v>577984.69977750001</v>
      </c>
      <c r="I9" s="151">
        <f>(Revenues!I7-Receipts!I8+Revenues!I10)*Computation!I8</f>
        <v>585878.77991250006</v>
      </c>
      <c r="J9" s="151">
        <f>(Revenues!J7-Receipts!J8+Revenues!J10)*Computation!J8</f>
        <v>592886.77629749989</v>
      </c>
      <c r="K9" s="151">
        <f>(Revenues!K7-Receipts!K8+Revenues!K10)*Computation!K8</f>
        <v>597218.56868250016</v>
      </c>
      <c r="L9" s="151">
        <f>(Revenues!L7-Receipts!L8+Revenues!L10)*Computation!L8</f>
        <v>602619.0829424999</v>
      </c>
      <c r="M9" s="151">
        <f>(Revenues!M7-Receipts!M8+Revenues!M10)*Computation!M8</f>
        <v>607580.11032749992</v>
      </c>
      <c r="N9" s="151">
        <f>SUM(B9:M9)</f>
        <v>6043667.302015</v>
      </c>
    </row>
    <row r="10" spans="1:14">
      <c r="A10" s="104" t="s">
        <v>145</v>
      </c>
      <c r="B10" s="151">
        <v>533542</v>
      </c>
      <c r="C10" s="151">
        <v>440630</v>
      </c>
      <c r="D10" s="151">
        <v>100000</v>
      </c>
      <c r="E10" s="151">
        <v>75000</v>
      </c>
      <c r="F10" s="151">
        <v>60000</v>
      </c>
      <c r="G10" s="151">
        <v>60000</v>
      </c>
      <c r="H10" s="151">
        <v>60000</v>
      </c>
      <c r="I10" s="151">
        <v>60000</v>
      </c>
      <c r="J10" s="151">
        <v>60000</v>
      </c>
      <c r="K10" s="151">
        <v>60000</v>
      </c>
      <c r="L10" s="151">
        <v>60000</v>
      </c>
      <c r="M10" s="151">
        <v>60000</v>
      </c>
      <c r="N10" s="151">
        <f>SUM(B10:M10)</f>
        <v>1629172</v>
      </c>
    </row>
    <row r="11" spans="1:14">
      <c r="A11" s="104" t="s">
        <v>146</v>
      </c>
      <c r="B11" s="157">
        <f t="shared" ref="B11:M11" si="0">SUM(B8:B10)</f>
        <v>1579060.2096500001</v>
      </c>
      <c r="C11" s="157">
        <f t="shared" si="0"/>
        <v>1548708.56375</v>
      </c>
      <c r="D11" s="157">
        <f t="shared" si="0"/>
        <v>1613414.4336100002</v>
      </c>
      <c r="E11" s="157">
        <f t="shared" si="0"/>
        <v>1603222.2708149999</v>
      </c>
      <c r="F11" s="157">
        <f t="shared" si="0"/>
        <v>1614950.7160200002</v>
      </c>
      <c r="G11" s="157">
        <f t="shared" si="0"/>
        <v>1643923.2531300001</v>
      </c>
      <c r="H11" s="157">
        <f t="shared" si="0"/>
        <v>1662261.3829274999</v>
      </c>
      <c r="I11" s="157">
        <f t="shared" si="0"/>
        <v>1684144.9721625</v>
      </c>
      <c r="J11" s="157">
        <f t="shared" si="0"/>
        <v>1703572.2026475</v>
      </c>
      <c r="K11" s="157">
        <f t="shared" si="0"/>
        <v>1715580.5891325001</v>
      </c>
      <c r="L11" s="157">
        <f t="shared" si="0"/>
        <v>1730551.6349924998</v>
      </c>
      <c r="M11" s="157">
        <f t="shared" si="0"/>
        <v>1744304.3564774999</v>
      </c>
      <c r="N11" s="157">
        <f>SUM(B11:M11)</f>
        <v>19843694.585315</v>
      </c>
    </row>
    <row r="12" spans="1:14" ht="19.5" customHeight="1">
      <c r="A12" s="87" t="s">
        <v>147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>
      <c r="A13" s="104" t="s">
        <v>148</v>
      </c>
      <c r="B13" s="138">
        <f>Computation!B27+Computation!B30</f>
        <v>45098.17</v>
      </c>
      <c r="C13" s="138">
        <f>Computation!C27+Computation!C30</f>
        <v>47836.05</v>
      </c>
      <c r="D13" s="138">
        <f>Computation!D27+Computation!D30</f>
        <v>47072.959999999999</v>
      </c>
      <c r="E13" s="138">
        <f>Computation!E27+Computation!E30</f>
        <v>60513.61</v>
      </c>
      <c r="F13" s="138">
        <f>Computation!F27+Computation!F30</f>
        <v>72777.75</v>
      </c>
      <c r="G13" s="138">
        <f>Computation!G27+Computation!G30</f>
        <v>93118.080000000002</v>
      </c>
      <c r="H13" s="138">
        <f>Computation!H27+Computation!H30</f>
        <v>61889.35</v>
      </c>
      <c r="I13" s="138">
        <f>Computation!I27+Computation!I30</f>
        <v>52858.740000000005</v>
      </c>
      <c r="J13" s="138">
        <f>Computation!J27+Computation!J30</f>
        <v>42496.7</v>
      </c>
      <c r="K13" s="138">
        <f>Computation!K27+Computation!K30</f>
        <v>38942.550000000003</v>
      </c>
      <c r="L13" s="138">
        <f>Computation!L27+Computation!L30</f>
        <v>17000</v>
      </c>
      <c r="M13" s="138">
        <f>Computation!M27+Computation!M30</f>
        <v>17000</v>
      </c>
      <c r="N13" s="138">
        <f>SUM(B13:M13)</f>
        <v>596603.96</v>
      </c>
    </row>
    <row r="14" spans="1:14">
      <c r="A14" s="104" t="s">
        <v>149</v>
      </c>
      <c r="B14" s="151">
        <f>Revenues!B14+Revenues!B15</f>
        <v>1250</v>
      </c>
      <c r="C14" s="151">
        <f>Revenues!C14+Revenues!C15</f>
        <v>1250</v>
      </c>
      <c r="D14" s="151">
        <f>Revenues!D14+Revenues!D15</f>
        <v>1250</v>
      </c>
      <c r="E14" s="151">
        <f>Revenues!E14+Revenues!E15</f>
        <v>1250</v>
      </c>
      <c r="F14" s="151">
        <f>Revenues!F14+Revenues!F15</f>
        <v>1250</v>
      </c>
      <c r="G14" s="151">
        <f>Revenues!G14+Revenues!G15</f>
        <v>1250</v>
      </c>
      <c r="H14" s="151">
        <f>Revenues!H14+Revenues!H15</f>
        <v>1250</v>
      </c>
      <c r="I14" s="151">
        <f>Revenues!I14+Revenues!I15</f>
        <v>1250</v>
      </c>
      <c r="J14" s="151">
        <f>Revenues!J14+Revenues!J15</f>
        <v>1250</v>
      </c>
      <c r="K14" s="151">
        <f>Revenues!K14+Revenues!K15</f>
        <v>1250</v>
      </c>
      <c r="L14" s="151">
        <f>Revenues!L14+Revenues!L15</f>
        <v>1250</v>
      </c>
      <c r="M14" s="151">
        <f>Revenues!M14+Revenues!M15</f>
        <v>1250</v>
      </c>
      <c r="N14" s="151">
        <f>SUM(B14:M14)</f>
        <v>15000</v>
      </c>
    </row>
    <row r="15" spans="1:14">
      <c r="A15" s="104" t="s">
        <v>727</v>
      </c>
      <c r="B15" s="151">
        <f>Computation!B23*600</f>
        <v>15000</v>
      </c>
      <c r="C15" s="151">
        <f>Computation!C23*600</f>
        <v>19200</v>
      </c>
      <c r="D15" s="151">
        <f>Computation!D23*600</f>
        <v>15000</v>
      </c>
      <c r="E15" s="151">
        <f>Computation!E23*600</f>
        <v>24000</v>
      </c>
      <c r="F15" s="151">
        <f>Computation!F23*600</f>
        <v>26400</v>
      </c>
      <c r="G15" s="151">
        <f>Computation!G23*600</f>
        <v>31800</v>
      </c>
      <c r="H15" s="151">
        <f>Computation!H23*600</f>
        <v>18000</v>
      </c>
      <c r="I15" s="151">
        <f>Computation!I23*600</f>
        <v>21000</v>
      </c>
      <c r="J15" s="151">
        <f>Computation!J23*600</f>
        <v>18000</v>
      </c>
      <c r="K15" s="151">
        <f>Computation!K23*600</f>
        <v>12000</v>
      </c>
      <c r="L15" s="151">
        <f>Computation!L23*600</f>
        <v>12000</v>
      </c>
      <c r="M15" s="151">
        <f>Computation!M23*600</f>
        <v>12000</v>
      </c>
      <c r="N15" s="151">
        <f>SUM(B15:M15)</f>
        <v>224400</v>
      </c>
    </row>
    <row r="16" spans="1:14">
      <c r="A16" s="72" t="s">
        <v>284</v>
      </c>
      <c r="B16" s="151">
        <f>Computation!B15*2800</f>
        <v>70000</v>
      </c>
      <c r="C16" s="151">
        <f>Computation!C15*2800</f>
        <v>89600</v>
      </c>
      <c r="D16" s="151">
        <f>Computation!D15*2800</f>
        <v>70000</v>
      </c>
      <c r="E16" s="151">
        <f>Computation!E15*2800</f>
        <v>112000</v>
      </c>
      <c r="F16" s="151">
        <f>Computation!F15*2800</f>
        <v>123200</v>
      </c>
      <c r="G16" s="151">
        <f>Computation!G15*2800</f>
        <v>148400</v>
      </c>
      <c r="H16" s="151">
        <f>Computation!H15*2800</f>
        <v>84000</v>
      </c>
      <c r="I16" s="151">
        <f>Computation!I15*2800</f>
        <v>98000</v>
      </c>
      <c r="J16" s="151">
        <f>Computation!J15*2800</f>
        <v>84000</v>
      </c>
      <c r="K16" s="151">
        <f>Computation!K15*2800</f>
        <v>56000</v>
      </c>
      <c r="L16" s="151">
        <f>Computation!L15*2800</f>
        <v>56000</v>
      </c>
      <c r="M16" s="151">
        <f>Computation!M15*2800</f>
        <v>56000</v>
      </c>
      <c r="N16" s="151">
        <f>SUM(B16:M16)</f>
        <v>1047200</v>
      </c>
    </row>
    <row r="17" spans="1:15">
      <c r="A17" s="159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>
        <f>SUM(N13:N16)</f>
        <v>1883203.96</v>
      </c>
    </row>
    <row r="18" spans="1:15" ht="24" customHeight="1" thickBot="1">
      <c r="A18" s="36" t="s">
        <v>150</v>
      </c>
      <c r="B18" s="155">
        <f t="shared" ref="B18:M18" si="1">B11+B13+B14+B16</f>
        <v>1695408.37965</v>
      </c>
      <c r="C18" s="155">
        <f t="shared" si="1"/>
        <v>1687394.61375</v>
      </c>
      <c r="D18" s="155">
        <f t="shared" si="1"/>
        <v>1731737.3936100001</v>
      </c>
      <c r="E18" s="155">
        <f t="shared" si="1"/>
        <v>1776985.880815</v>
      </c>
      <c r="F18" s="155">
        <f t="shared" si="1"/>
        <v>1812178.4660200002</v>
      </c>
      <c r="G18" s="155">
        <f t="shared" si="1"/>
        <v>1886691.3331300002</v>
      </c>
      <c r="H18" s="155">
        <f t="shared" si="1"/>
        <v>1809400.7329275</v>
      </c>
      <c r="I18" s="155">
        <f t="shared" si="1"/>
        <v>1836253.7121625</v>
      </c>
      <c r="J18" s="155">
        <f t="shared" si="1"/>
        <v>1831318.9026474999</v>
      </c>
      <c r="K18" s="155">
        <f t="shared" si="1"/>
        <v>1811773.1391325002</v>
      </c>
      <c r="L18" s="155">
        <f t="shared" si="1"/>
        <v>1804801.6349924998</v>
      </c>
      <c r="M18" s="155">
        <f t="shared" si="1"/>
        <v>1818554.3564774999</v>
      </c>
      <c r="N18" s="156">
        <f>N11+N17</f>
        <v>21726898.545315001</v>
      </c>
    </row>
    <row r="19" spans="1:15" ht="27.75" customHeight="1" thickTop="1"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5" ht="20.25" customHeight="1">
      <c r="A20" s="78" t="s">
        <v>697</v>
      </c>
      <c r="B20" s="151">
        <v>1276478</v>
      </c>
      <c r="C20" s="151">
        <v>1422574</v>
      </c>
      <c r="D20" s="151">
        <v>1341711</v>
      </c>
      <c r="E20" s="151">
        <v>1470758</v>
      </c>
      <c r="F20" s="151">
        <v>1609646</v>
      </c>
      <c r="G20" s="151">
        <v>1528848</v>
      </c>
      <c r="H20" s="151">
        <v>1410029</v>
      </c>
      <c r="I20" s="151">
        <v>1450970</v>
      </c>
      <c r="J20" s="151">
        <v>1386004</v>
      </c>
      <c r="K20" s="151">
        <v>1407668</v>
      </c>
      <c r="L20" s="151">
        <v>1406885</v>
      </c>
      <c r="M20" s="151">
        <v>1409602</v>
      </c>
      <c r="N20" s="151">
        <f>SUM(B20:M20)</f>
        <v>17121173</v>
      </c>
      <c r="O20" s="167">
        <f>SUM(B20:J20)</f>
        <v>12897018</v>
      </c>
    </row>
    <row r="21" spans="1:15" ht="22.5" customHeight="1">
      <c r="A21" s="43" t="s">
        <v>151</v>
      </c>
      <c r="B21" s="213">
        <v>1273605.9099999999</v>
      </c>
      <c r="C21" s="151">
        <v>1344484.92</v>
      </c>
      <c r="D21" s="151">
        <v>1479136.55</v>
      </c>
      <c r="E21" s="151">
        <v>1441687.41</v>
      </c>
      <c r="F21" s="151">
        <v>1664809.38</v>
      </c>
      <c r="G21" s="151">
        <v>1744459.91</v>
      </c>
      <c r="H21" s="151">
        <v>1765036.82</v>
      </c>
      <c r="I21" s="151">
        <v>1748673.85</v>
      </c>
      <c r="J21" s="151">
        <v>1653762.05</v>
      </c>
      <c r="K21" s="151">
        <v>1752718.12</v>
      </c>
      <c r="L21" s="151"/>
      <c r="M21" s="151"/>
      <c r="N21" s="151">
        <f>SUM(B21:M21)</f>
        <v>15868374.920000002</v>
      </c>
      <c r="O21" s="167">
        <f>SUM(B21:J21)</f>
        <v>14115656.800000001</v>
      </c>
    </row>
    <row r="22" spans="1:15">
      <c r="B22" s="10" t="s">
        <v>152</v>
      </c>
    </row>
    <row r="23" spans="1:15">
      <c r="K23" s="167"/>
      <c r="O23" s="167"/>
    </row>
    <row r="26" spans="1:15">
      <c r="A26" s="2" t="s">
        <v>153</v>
      </c>
      <c r="E26" s="2" t="s">
        <v>89</v>
      </c>
      <c r="K26" s="2" t="s">
        <v>34</v>
      </c>
    </row>
    <row r="27" spans="1:15">
      <c r="K27" t="s">
        <v>37</v>
      </c>
    </row>
    <row r="29" spans="1:15">
      <c r="A29" s="2" t="s">
        <v>72</v>
      </c>
      <c r="E29" s="2" t="s">
        <v>39</v>
      </c>
      <c r="K29" s="2" t="s">
        <v>714</v>
      </c>
    </row>
    <row r="30" spans="1:15">
      <c r="A30" t="s">
        <v>755</v>
      </c>
      <c r="E30" s="10" t="s">
        <v>756</v>
      </c>
      <c r="K30" t="s">
        <v>154</v>
      </c>
    </row>
    <row r="33" spans="9:9">
      <c r="I33" s="10"/>
    </row>
    <row r="34" spans="9:9">
      <c r="I34" s="10"/>
    </row>
  </sheetData>
  <mergeCells count="3">
    <mergeCell ref="A1:N1"/>
    <mergeCell ref="A2:N2"/>
    <mergeCell ref="A3:N3"/>
  </mergeCells>
  <pageMargins left="0.5" right="1.5" top="0.5" bottom="0.5" header="0.3" footer="0.3"/>
  <pageSetup paperSize="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9"/>
  <sheetViews>
    <sheetView topLeftCell="A17" zoomScale="110" zoomScaleNormal="110" workbookViewId="0">
      <selection activeCell="E34" sqref="E34"/>
    </sheetView>
  </sheetViews>
  <sheetFormatPr defaultRowHeight="15"/>
  <cols>
    <col min="1" max="1" width="21.85546875" customWidth="1"/>
    <col min="2" max="2" width="12.85546875" customWidth="1"/>
    <col min="3" max="3" width="11.42578125" customWidth="1"/>
    <col min="4" max="4" width="10.7109375" customWidth="1"/>
    <col min="5" max="5" width="10.85546875" customWidth="1"/>
    <col min="6" max="6" width="11.7109375" customWidth="1"/>
    <col min="7" max="7" width="10.28515625" customWidth="1"/>
    <col min="8" max="8" width="10.42578125" customWidth="1"/>
    <col min="9" max="9" width="10.7109375" customWidth="1"/>
    <col min="10" max="10" width="10.28515625" customWidth="1"/>
    <col min="11" max="12" width="10.7109375" customWidth="1"/>
    <col min="13" max="13" width="10.42578125" customWidth="1"/>
    <col min="14" max="14" width="13.28515625" bestFit="1" customWidth="1"/>
    <col min="16" max="16" width="31.42578125" customWidth="1"/>
    <col min="17" max="17" width="14.28515625" customWidth="1"/>
  </cols>
  <sheetData>
    <row r="1" spans="1:17" ht="20.2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7" ht="15.75">
      <c r="A2" s="344" t="s">
        <v>155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7" ht="15.75">
      <c r="A3" s="342" t="s">
        <v>698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spans="1:17">
      <c r="A4" s="74"/>
      <c r="B4" s="79"/>
      <c r="C4" s="74"/>
      <c r="D4" s="112" t="s">
        <v>278</v>
      </c>
      <c r="E4" s="74"/>
      <c r="F4" s="112" t="s">
        <v>294</v>
      </c>
      <c r="G4" s="74"/>
      <c r="H4" s="74"/>
      <c r="I4" s="112" t="s">
        <v>277</v>
      </c>
      <c r="J4" s="111" t="s">
        <v>273</v>
      </c>
      <c r="K4" s="346" t="s">
        <v>295</v>
      </c>
      <c r="L4" s="235"/>
      <c r="M4" s="235"/>
    </row>
    <row r="5" spans="1:17" ht="15.75" thickBot="1">
      <c r="A5" s="321"/>
      <c r="B5" s="168" t="s">
        <v>286</v>
      </c>
      <c r="C5" s="80" t="s">
        <v>156</v>
      </c>
      <c r="D5" s="80" t="s">
        <v>279</v>
      </c>
      <c r="E5" s="80" t="s">
        <v>280</v>
      </c>
      <c r="F5" s="80" t="s">
        <v>157</v>
      </c>
      <c r="G5" s="80" t="s">
        <v>158</v>
      </c>
      <c r="H5" s="80" t="s">
        <v>159</v>
      </c>
      <c r="I5" s="80" t="s">
        <v>275</v>
      </c>
      <c r="J5" s="109" t="s">
        <v>274</v>
      </c>
      <c r="K5" s="347"/>
      <c r="L5" s="236" t="s">
        <v>296</v>
      </c>
      <c r="M5" s="236" t="s">
        <v>289</v>
      </c>
    </row>
    <row r="6" spans="1:17" ht="15" customHeight="1">
      <c r="A6" s="72"/>
      <c r="B6" s="169" t="s">
        <v>287</v>
      </c>
      <c r="C6" s="81" t="s">
        <v>160</v>
      </c>
      <c r="D6" s="81"/>
      <c r="E6" s="81" t="s">
        <v>281</v>
      </c>
      <c r="F6" s="81" t="s">
        <v>161</v>
      </c>
      <c r="G6" s="81" t="s">
        <v>161</v>
      </c>
      <c r="H6" s="81" t="s">
        <v>161</v>
      </c>
      <c r="I6" s="81" t="s">
        <v>276</v>
      </c>
      <c r="J6" s="110"/>
      <c r="K6" s="348"/>
      <c r="L6" s="237"/>
      <c r="M6" s="237"/>
    </row>
    <row r="7" spans="1:17">
      <c r="A7" s="32" t="s">
        <v>162</v>
      </c>
      <c r="B7" s="69"/>
      <c r="C7" s="69"/>
      <c r="D7" s="69"/>
      <c r="E7" s="82"/>
      <c r="F7" s="69"/>
      <c r="G7" s="69"/>
      <c r="H7" s="69"/>
      <c r="I7" s="69"/>
      <c r="J7" s="69"/>
      <c r="K7" s="69"/>
      <c r="L7" s="72"/>
      <c r="M7" s="69"/>
    </row>
    <row r="8" spans="1:17">
      <c r="A8" s="238" t="s">
        <v>299</v>
      </c>
      <c r="B8" s="322">
        <f>D8*12</f>
        <v>679320</v>
      </c>
      <c r="C8" s="322">
        <v>144000</v>
      </c>
      <c r="D8" s="322">
        <v>56610</v>
      </c>
      <c r="E8" s="323">
        <v>0</v>
      </c>
      <c r="F8" s="322">
        <f>B8*12%</f>
        <v>81518.399999999994</v>
      </c>
      <c r="G8" s="322">
        <v>1200</v>
      </c>
      <c r="H8" s="322">
        <f>437.5*12</f>
        <v>5250</v>
      </c>
      <c r="I8" s="322">
        <v>1200</v>
      </c>
      <c r="J8" s="322">
        <v>5000</v>
      </c>
      <c r="K8" s="322">
        <v>30000</v>
      </c>
      <c r="L8" s="322">
        <v>5000</v>
      </c>
      <c r="M8" s="322">
        <v>20000</v>
      </c>
      <c r="N8" t="s">
        <v>297</v>
      </c>
      <c r="O8" t="s">
        <v>298</v>
      </c>
      <c r="P8" t="s">
        <v>300</v>
      </c>
      <c r="Q8" t="s">
        <v>301</v>
      </c>
    </row>
    <row r="9" spans="1:17">
      <c r="A9" s="179" t="s">
        <v>304</v>
      </c>
      <c r="B9" s="322">
        <f t="shared" ref="B9:B13" si="0">D9*12</f>
        <v>289692</v>
      </c>
      <c r="C9" s="322">
        <f>2000*12</f>
        <v>24000</v>
      </c>
      <c r="D9" s="322">
        <v>24141</v>
      </c>
      <c r="E9" s="323">
        <v>2500</v>
      </c>
      <c r="F9" s="322">
        <f t="shared" ref="F9:F13" si="1">B9*12%</f>
        <v>34763.040000000001</v>
      </c>
      <c r="G9" s="322">
        <v>1200</v>
      </c>
      <c r="H9" s="322">
        <v>3600</v>
      </c>
      <c r="I9" s="322">
        <v>1200</v>
      </c>
      <c r="J9" s="322">
        <v>5000</v>
      </c>
      <c r="K9" s="322">
        <v>20000</v>
      </c>
      <c r="L9" s="322">
        <v>5000</v>
      </c>
      <c r="M9" s="322">
        <v>20000</v>
      </c>
      <c r="N9" t="s">
        <v>302</v>
      </c>
      <c r="O9" t="s">
        <v>303</v>
      </c>
      <c r="P9" t="s">
        <v>305</v>
      </c>
      <c r="Q9" t="s">
        <v>306</v>
      </c>
    </row>
    <row r="10" spans="1:17">
      <c r="A10" s="179" t="s">
        <v>309</v>
      </c>
      <c r="B10" s="322">
        <f t="shared" si="0"/>
        <v>212760</v>
      </c>
      <c r="C10" s="322">
        <f>2000*12</f>
        <v>24000</v>
      </c>
      <c r="D10" s="322">
        <v>17730</v>
      </c>
      <c r="E10" s="323">
        <v>1000</v>
      </c>
      <c r="F10" s="322">
        <f t="shared" si="1"/>
        <v>25531.200000000001</v>
      </c>
      <c r="G10" s="322">
        <v>1200</v>
      </c>
      <c r="H10" s="322">
        <v>2550</v>
      </c>
      <c r="I10" s="322">
        <v>1200</v>
      </c>
      <c r="J10" s="322">
        <v>5000</v>
      </c>
      <c r="K10" s="322">
        <v>10000</v>
      </c>
      <c r="L10" s="322">
        <v>5000</v>
      </c>
      <c r="M10" s="322">
        <v>20000</v>
      </c>
      <c r="N10" t="s">
        <v>307</v>
      </c>
      <c r="O10" t="s">
        <v>308</v>
      </c>
      <c r="P10" t="s">
        <v>310</v>
      </c>
      <c r="Q10" t="s">
        <v>301</v>
      </c>
    </row>
    <row r="11" spans="1:17">
      <c r="A11" s="239" t="s">
        <v>699</v>
      </c>
      <c r="B11" s="322">
        <f t="shared" si="0"/>
        <v>139896</v>
      </c>
      <c r="C11" s="322">
        <f>2000*12</f>
        <v>24000</v>
      </c>
      <c r="D11" s="322">
        <v>11658</v>
      </c>
      <c r="E11" s="323">
        <v>3000</v>
      </c>
      <c r="F11" s="322">
        <f t="shared" si="1"/>
        <v>16787.52</v>
      </c>
      <c r="G11" s="322">
        <v>1200</v>
      </c>
      <c r="H11" s="322">
        <v>1650</v>
      </c>
      <c r="I11" s="322">
        <v>1200</v>
      </c>
      <c r="J11" s="322">
        <v>5000</v>
      </c>
      <c r="K11" s="322">
        <v>5000</v>
      </c>
      <c r="L11" s="322">
        <v>5000</v>
      </c>
      <c r="M11" s="322">
        <v>20000</v>
      </c>
      <c r="N11" t="s">
        <v>311</v>
      </c>
      <c r="O11" t="s">
        <v>312</v>
      </c>
      <c r="P11" t="s">
        <v>313</v>
      </c>
      <c r="Q11" t="s">
        <v>306</v>
      </c>
    </row>
    <row r="12" spans="1:17">
      <c r="A12" s="179" t="s">
        <v>700</v>
      </c>
      <c r="B12" s="323">
        <f t="shared" si="0"/>
        <v>139896</v>
      </c>
      <c r="C12" s="322">
        <f>2000*12</f>
        <v>24000</v>
      </c>
      <c r="D12" s="322">
        <v>11658</v>
      </c>
      <c r="E12" s="323">
        <v>24000</v>
      </c>
      <c r="F12" s="322">
        <f t="shared" si="1"/>
        <v>16787.52</v>
      </c>
      <c r="G12" s="322">
        <v>1200</v>
      </c>
      <c r="H12" s="322">
        <v>1650</v>
      </c>
      <c r="I12" s="322">
        <v>1200</v>
      </c>
      <c r="J12" s="322">
        <v>5000</v>
      </c>
      <c r="K12" s="322">
        <v>5000</v>
      </c>
      <c r="L12" s="322">
        <v>5000</v>
      </c>
      <c r="M12" s="322">
        <v>20000</v>
      </c>
      <c r="N12" t="s">
        <v>314</v>
      </c>
      <c r="O12" t="s">
        <v>312</v>
      </c>
      <c r="P12" t="s">
        <v>315</v>
      </c>
      <c r="Q12" t="s">
        <v>316</v>
      </c>
    </row>
    <row r="13" spans="1:17">
      <c r="A13" s="179" t="s">
        <v>317</v>
      </c>
      <c r="B13" s="323">
        <f t="shared" si="0"/>
        <v>113736</v>
      </c>
      <c r="C13" s="322">
        <v>24000</v>
      </c>
      <c r="D13" s="322">
        <v>9478</v>
      </c>
      <c r="E13" s="323">
        <v>0</v>
      </c>
      <c r="F13" s="322">
        <f t="shared" si="1"/>
        <v>13648.32</v>
      </c>
      <c r="G13" s="322">
        <v>1200</v>
      </c>
      <c r="H13" s="322">
        <v>1350</v>
      </c>
      <c r="I13" s="322">
        <v>1200</v>
      </c>
      <c r="J13" s="322">
        <v>5000</v>
      </c>
      <c r="K13" s="322">
        <v>5000</v>
      </c>
      <c r="L13" s="322">
        <v>5000</v>
      </c>
      <c r="M13" s="322">
        <v>20000</v>
      </c>
      <c r="N13" t="s">
        <v>767</v>
      </c>
      <c r="O13" t="s">
        <v>346</v>
      </c>
    </row>
    <row r="14" spans="1:17">
      <c r="A14" s="179" t="s">
        <v>701</v>
      </c>
      <c r="B14" s="323">
        <v>155052</v>
      </c>
      <c r="C14" s="322">
        <v>24000</v>
      </c>
      <c r="D14" s="322">
        <v>13378</v>
      </c>
      <c r="E14" s="323"/>
      <c r="F14" s="322">
        <v>18606.240000000002</v>
      </c>
      <c r="G14" s="322">
        <v>1200</v>
      </c>
      <c r="H14" s="322">
        <v>1950</v>
      </c>
      <c r="I14" s="322">
        <v>1200</v>
      </c>
      <c r="J14" s="322">
        <v>5000</v>
      </c>
      <c r="K14" s="322">
        <v>5000</v>
      </c>
      <c r="L14" s="322">
        <v>5000</v>
      </c>
      <c r="M14" s="322">
        <v>20000</v>
      </c>
      <c r="O14" t="s">
        <v>326</v>
      </c>
    </row>
    <row r="15" spans="1:17">
      <c r="A15" s="179" t="s">
        <v>702</v>
      </c>
      <c r="B15" s="323">
        <v>155052</v>
      </c>
      <c r="C15" s="322">
        <v>24000</v>
      </c>
      <c r="D15" s="322">
        <v>13378</v>
      </c>
      <c r="E15" s="323"/>
      <c r="F15" s="322">
        <v>18606.240000000002</v>
      </c>
      <c r="G15" s="322">
        <v>1200</v>
      </c>
      <c r="H15" s="322">
        <v>1950</v>
      </c>
      <c r="I15" s="322">
        <v>1200</v>
      </c>
      <c r="J15" s="322">
        <v>5000</v>
      </c>
      <c r="K15" s="322">
        <v>5000</v>
      </c>
      <c r="L15" s="322">
        <v>5000</v>
      </c>
      <c r="M15" s="322">
        <v>20000</v>
      </c>
      <c r="O15" t="s">
        <v>326</v>
      </c>
    </row>
    <row r="16" spans="1:17">
      <c r="A16" s="72" t="s">
        <v>163</v>
      </c>
      <c r="B16" s="324">
        <f>SUM(B8:B15)</f>
        <v>1885404</v>
      </c>
      <c r="C16" s="324">
        <f>SUM(C8:C15)</f>
        <v>312000</v>
      </c>
      <c r="D16" s="324">
        <f>SUM(D8:D15)</f>
        <v>158031</v>
      </c>
      <c r="E16" s="324">
        <f t="shared" ref="E16" si="2">SUM(E8:E13)</f>
        <v>30500</v>
      </c>
      <c r="F16" s="324">
        <f t="shared" ref="F16:M16" si="3">SUM(F8:F15)</f>
        <v>226248.47999999998</v>
      </c>
      <c r="G16" s="324">
        <f t="shared" si="3"/>
        <v>9600</v>
      </c>
      <c r="H16" s="324">
        <f t="shared" si="3"/>
        <v>19950</v>
      </c>
      <c r="I16" s="324">
        <f t="shared" si="3"/>
        <v>9600</v>
      </c>
      <c r="J16" s="324">
        <f t="shared" si="3"/>
        <v>40000</v>
      </c>
      <c r="K16" s="324">
        <f t="shared" si="3"/>
        <v>85000</v>
      </c>
      <c r="L16" s="324">
        <f t="shared" si="3"/>
        <v>40000</v>
      </c>
      <c r="M16" s="324">
        <f t="shared" si="3"/>
        <v>160000</v>
      </c>
    </row>
    <row r="17" spans="1:17">
      <c r="A17" s="32" t="s">
        <v>164</v>
      </c>
      <c r="B17" s="322"/>
      <c r="C17" s="322"/>
      <c r="D17" s="322"/>
      <c r="E17" s="323"/>
      <c r="F17" s="322"/>
      <c r="G17" s="322"/>
      <c r="H17" s="322"/>
      <c r="I17" s="322"/>
      <c r="J17" s="322"/>
      <c r="K17" s="322"/>
      <c r="L17" s="322"/>
      <c r="M17" s="325"/>
    </row>
    <row r="18" spans="1:17">
      <c r="A18" s="179" t="s">
        <v>319</v>
      </c>
      <c r="B18" s="322">
        <f t="shared" ref="B18:B22" si="4">D18*12</f>
        <v>289692</v>
      </c>
      <c r="C18" s="322">
        <f t="shared" ref="C18:C22" si="5">2000*12</f>
        <v>24000</v>
      </c>
      <c r="D18" s="322">
        <v>24141</v>
      </c>
      <c r="E18" s="323">
        <v>1500</v>
      </c>
      <c r="F18" s="322">
        <f t="shared" ref="F18:F20" si="6">B18*12%</f>
        <v>34763.040000000001</v>
      </c>
      <c r="G18" s="322">
        <v>1200</v>
      </c>
      <c r="H18" s="322">
        <v>3600</v>
      </c>
      <c r="I18" s="322">
        <v>1200</v>
      </c>
      <c r="J18" s="322">
        <v>5000</v>
      </c>
      <c r="K18" s="322">
        <v>20000</v>
      </c>
      <c r="L18" s="322">
        <v>5000</v>
      </c>
      <c r="M18" s="322">
        <v>20000</v>
      </c>
      <c r="N18" t="s">
        <v>318</v>
      </c>
      <c r="O18" t="s">
        <v>303</v>
      </c>
      <c r="P18" t="s">
        <v>320</v>
      </c>
      <c r="Q18" t="s">
        <v>321</v>
      </c>
    </row>
    <row r="19" spans="1:17">
      <c r="A19" s="179" t="s">
        <v>324</v>
      </c>
      <c r="B19" s="322">
        <f t="shared" si="4"/>
        <v>184416</v>
      </c>
      <c r="C19" s="322">
        <f t="shared" si="5"/>
        <v>24000</v>
      </c>
      <c r="D19" s="322">
        <v>15368</v>
      </c>
      <c r="E19" s="323">
        <v>1500</v>
      </c>
      <c r="F19" s="322">
        <f t="shared" si="6"/>
        <v>22129.919999999998</v>
      </c>
      <c r="G19" s="322">
        <v>1200</v>
      </c>
      <c r="H19" s="322">
        <f>187.5*12</f>
        <v>2250</v>
      </c>
      <c r="I19" s="322">
        <v>1200</v>
      </c>
      <c r="J19" s="322">
        <v>5000</v>
      </c>
      <c r="K19" s="322">
        <v>10000</v>
      </c>
      <c r="L19" s="322">
        <v>5000</v>
      </c>
      <c r="M19" s="322">
        <v>20000</v>
      </c>
      <c r="N19" t="s">
        <v>322</v>
      </c>
      <c r="O19" t="s">
        <v>323</v>
      </c>
      <c r="P19" t="s">
        <v>325</v>
      </c>
      <c r="Q19" t="s">
        <v>316</v>
      </c>
    </row>
    <row r="20" spans="1:17">
      <c r="A20" s="179" t="s">
        <v>327</v>
      </c>
      <c r="B20" s="322">
        <f t="shared" si="4"/>
        <v>160536</v>
      </c>
      <c r="C20" s="322">
        <f t="shared" si="5"/>
        <v>24000</v>
      </c>
      <c r="D20" s="322">
        <v>13378</v>
      </c>
      <c r="E20" s="323">
        <v>3000</v>
      </c>
      <c r="F20" s="322">
        <f t="shared" si="6"/>
        <v>19264.32</v>
      </c>
      <c r="G20" s="322">
        <v>1200</v>
      </c>
      <c r="H20" s="322">
        <v>1950</v>
      </c>
      <c r="I20" s="322">
        <v>1200</v>
      </c>
      <c r="J20" s="322">
        <v>5000</v>
      </c>
      <c r="K20" s="322">
        <v>10000</v>
      </c>
      <c r="L20" s="322">
        <v>5000</v>
      </c>
      <c r="M20" s="322">
        <v>20000</v>
      </c>
      <c r="O20" t="s">
        <v>326</v>
      </c>
    </row>
    <row r="21" spans="1:17">
      <c r="A21" s="179" t="s">
        <v>329</v>
      </c>
      <c r="B21" s="322">
        <f t="shared" si="4"/>
        <v>139896</v>
      </c>
      <c r="C21" s="322">
        <f t="shared" si="5"/>
        <v>24000</v>
      </c>
      <c r="D21" s="322">
        <v>11658</v>
      </c>
      <c r="E21" s="323">
        <v>12000</v>
      </c>
      <c r="F21" s="322">
        <f>B21*12%</f>
        <v>16787.52</v>
      </c>
      <c r="G21" s="322">
        <v>1200</v>
      </c>
      <c r="H21" s="322">
        <v>1650</v>
      </c>
      <c r="I21" s="322">
        <v>1200</v>
      </c>
      <c r="J21" s="322">
        <v>5000</v>
      </c>
      <c r="K21" s="322">
        <v>10000</v>
      </c>
      <c r="L21" s="322">
        <v>5000</v>
      </c>
      <c r="M21" s="322">
        <v>20000</v>
      </c>
      <c r="N21" t="s">
        <v>328</v>
      </c>
      <c r="O21" t="s">
        <v>312</v>
      </c>
      <c r="P21" t="s">
        <v>555</v>
      </c>
      <c r="Q21" t="s">
        <v>306</v>
      </c>
    </row>
    <row r="22" spans="1:17">
      <c r="A22" s="179" t="s">
        <v>329</v>
      </c>
      <c r="B22" s="323">
        <f t="shared" si="4"/>
        <v>139896</v>
      </c>
      <c r="C22" s="322">
        <f t="shared" si="5"/>
        <v>24000</v>
      </c>
      <c r="D22" s="322">
        <v>11658</v>
      </c>
      <c r="E22" s="323">
        <v>12000</v>
      </c>
      <c r="F22" s="322">
        <f t="shared" ref="F22" si="7">B22*12%</f>
        <v>16787.52</v>
      </c>
      <c r="G22" s="322">
        <v>1200</v>
      </c>
      <c r="H22" s="322">
        <v>1650</v>
      </c>
      <c r="I22" s="322">
        <v>1200</v>
      </c>
      <c r="J22" s="322">
        <v>5000</v>
      </c>
      <c r="K22" s="322">
        <v>10000</v>
      </c>
      <c r="L22" s="322">
        <v>5000</v>
      </c>
      <c r="M22" s="322">
        <v>20000</v>
      </c>
      <c r="N22" t="s">
        <v>330</v>
      </c>
      <c r="O22" t="s">
        <v>312</v>
      </c>
      <c r="P22" t="s">
        <v>554</v>
      </c>
      <c r="Q22" t="s">
        <v>306</v>
      </c>
    </row>
    <row r="23" spans="1:17">
      <c r="A23" s="179" t="s">
        <v>703</v>
      </c>
      <c r="B23" s="323">
        <v>134172</v>
      </c>
      <c r="C23" s="322">
        <v>24000</v>
      </c>
      <c r="D23" s="322">
        <v>11658</v>
      </c>
      <c r="E23" s="323"/>
      <c r="F23" s="322">
        <v>16100.64</v>
      </c>
      <c r="G23" s="322">
        <v>1200</v>
      </c>
      <c r="H23" s="322">
        <v>1650</v>
      </c>
      <c r="I23" s="322">
        <v>1200</v>
      </c>
      <c r="J23" s="322">
        <v>5000</v>
      </c>
      <c r="K23" s="322"/>
      <c r="L23" s="322">
        <v>5000</v>
      </c>
      <c r="M23" s="322">
        <v>20000</v>
      </c>
      <c r="O23" t="s">
        <v>766</v>
      </c>
    </row>
    <row r="24" spans="1:17">
      <c r="A24" s="72" t="s">
        <v>163</v>
      </c>
      <c r="B24" s="324">
        <f>SUM(B18:B23)</f>
        <v>1048608</v>
      </c>
      <c r="C24" s="324">
        <f>SUM(C18:C23)</f>
        <v>144000</v>
      </c>
      <c r="D24" s="324">
        <f>SUM(D18:D23)</f>
        <v>87861</v>
      </c>
      <c r="E24" s="324">
        <f>SUM(E18:E22)</f>
        <v>30000</v>
      </c>
      <c r="F24" s="324">
        <f>SUM(F18:F23)</f>
        <v>125832.96000000001</v>
      </c>
      <c r="G24" s="324">
        <f>SUM(G18:G23)</f>
        <v>7200</v>
      </c>
      <c r="H24" s="324">
        <f>SUM(H18:H23)</f>
        <v>12750</v>
      </c>
      <c r="I24" s="324">
        <f>SUM(I18:I23)</f>
        <v>7200</v>
      </c>
      <c r="J24" s="324">
        <f>SUM(J18:J23)</f>
        <v>30000</v>
      </c>
      <c r="K24" s="324">
        <f>SUM(K18:K22)</f>
        <v>60000</v>
      </c>
      <c r="L24" s="324">
        <f>SUM(L18:L23)</f>
        <v>30000</v>
      </c>
      <c r="M24" s="324">
        <f>SUM(M18:M23)</f>
        <v>120000</v>
      </c>
    </row>
    <row r="25" spans="1:17">
      <c r="A25" s="32" t="s">
        <v>165</v>
      </c>
      <c r="B25" s="322"/>
      <c r="C25" s="322"/>
      <c r="D25" s="322"/>
      <c r="E25" s="323"/>
      <c r="F25" s="322"/>
      <c r="G25" s="322"/>
      <c r="H25" s="322"/>
      <c r="I25" s="322"/>
      <c r="J25" s="322"/>
      <c r="K25" s="322"/>
      <c r="L25" s="322"/>
      <c r="M25" s="325"/>
    </row>
    <row r="26" spans="1:17">
      <c r="A26" s="179" t="s">
        <v>765</v>
      </c>
      <c r="B26" s="322">
        <f t="shared" ref="B26:B32" si="8">D26*12</f>
        <v>289692</v>
      </c>
      <c r="C26" s="322">
        <f t="shared" ref="C26:C32" si="9">2000*12</f>
        <v>24000</v>
      </c>
      <c r="D26" s="322">
        <v>24141</v>
      </c>
      <c r="E26" s="323">
        <v>3000</v>
      </c>
      <c r="F26" s="322">
        <f t="shared" ref="F26:F31" si="10">B26*12%</f>
        <v>34763.040000000001</v>
      </c>
      <c r="G26" s="322">
        <v>1200</v>
      </c>
      <c r="H26" s="322">
        <v>3600</v>
      </c>
      <c r="I26" s="322">
        <v>1200</v>
      </c>
      <c r="J26" s="322">
        <v>5000</v>
      </c>
      <c r="K26" s="322">
        <v>20000</v>
      </c>
      <c r="L26" s="322">
        <v>5000</v>
      </c>
      <c r="M26" s="322">
        <v>20000</v>
      </c>
      <c r="N26" t="s">
        <v>331</v>
      </c>
      <c r="O26" t="s">
        <v>303</v>
      </c>
      <c r="P26" t="s">
        <v>332</v>
      </c>
      <c r="Q26" t="s">
        <v>321</v>
      </c>
    </row>
    <row r="27" spans="1:17">
      <c r="A27" s="179" t="s">
        <v>334</v>
      </c>
      <c r="B27" s="322">
        <v>135504</v>
      </c>
      <c r="C27" s="322">
        <f t="shared" si="9"/>
        <v>24000</v>
      </c>
      <c r="D27" s="322">
        <v>11767</v>
      </c>
      <c r="E27" s="323">
        <v>50000</v>
      </c>
      <c r="F27" s="322">
        <f t="shared" si="10"/>
        <v>16260.48</v>
      </c>
      <c r="G27" s="322">
        <v>1200</v>
      </c>
      <c r="H27" s="322">
        <v>1650</v>
      </c>
      <c r="I27" s="322">
        <v>1200</v>
      </c>
      <c r="J27" s="322">
        <v>5000</v>
      </c>
      <c r="K27" s="322">
        <v>10000</v>
      </c>
      <c r="L27" s="322">
        <v>5000</v>
      </c>
      <c r="M27" s="322">
        <v>20000</v>
      </c>
      <c r="N27" t="s">
        <v>333</v>
      </c>
      <c r="O27" t="s">
        <v>312</v>
      </c>
      <c r="P27" t="s">
        <v>335</v>
      </c>
      <c r="Q27" t="s">
        <v>336</v>
      </c>
    </row>
    <row r="28" spans="1:17">
      <c r="A28" s="179" t="s">
        <v>334</v>
      </c>
      <c r="B28" s="322">
        <v>135504</v>
      </c>
      <c r="C28" s="322">
        <f t="shared" si="9"/>
        <v>24000</v>
      </c>
      <c r="D28" s="322">
        <v>11767</v>
      </c>
      <c r="E28" s="323">
        <v>50000</v>
      </c>
      <c r="F28" s="322">
        <f t="shared" si="10"/>
        <v>16260.48</v>
      </c>
      <c r="G28" s="322">
        <v>1200</v>
      </c>
      <c r="H28" s="322">
        <v>1650</v>
      </c>
      <c r="I28" s="322">
        <v>1200</v>
      </c>
      <c r="J28" s="322">
        <v>5000</v>
      </c>
      <c r="K28" s="322">
        <v>10000</v>
      </c>
      <c r="L28" s="322">
        <v>5000</v>
      </c>
      <c r="M28" s="322">
        <v>20000</v>
      </c>
      <c r="N28" t="s">
        <v>337</v>
      </c>
      <c r="O28" t="s">
        <v>312</v>
      </c>
      <c r="P28" t="s">
        <v>325</v>
      </c>
      <c r="Q28" t="s">
        <v>336</v>
      </c>
    </row>
    <row r="29" spans="1:17">
      <c r="A29" s="179" t="s">
        <v>334</v>
      </c>
      <c r="B29" s="322">
        <v>141012</v>
      </c>
      <c r="C29" s="322">
        <f t="shared" si="9"/>
        <v>24000</v>
      </c>
      <c r="D29" s="322">
        <v>12217</v>
      </c>
      <c r="E29" s="323">
        <v>50000</v>
      </c>
      <c r="F29" s="322">
        <f t="shared" si="10"/>
        <v>16921.439999999999</v>
      </c>
      <c r="G29" s="322">
        <v>1200</v>
      </c>
      <c r="H29" s="322">
        <f>150*12</f>
        <v>1800</v>
      </c>
      <c r="I29" s="322">
        <v>1200</v>
      </c>
      <c r="J29" s="322">
        <v>5000</v>
      </c>
      <c r="K29" s="322">
        <v>10000</v>
      </c>
      <c r="L29" s="322">
        <v>5000</v>
      </c>
      <c r="M29" s="322">
        <v>20000</v>
      </c>
      <c r="N29" t="s">
        <v>338</v>
      </c>
      <c r="O29" t="s">
        <v>312</v>
      </c>
      <c r="P29" t="s">
        <v>325</v>
      </c>
      <c r="Q29" t="s">
        <v>336</v>
      </c>
    </row>
    <row r="30" spans="1:17">
      <c r="A30" s="179" t="s">
        <v>340</v>
      </c>
      <c r="B30" s="323">
        <f t="shared" si="8"/>
        <v>160536</v>
      </c>
      <c r="C30" s="322">
        <f t="shared" si="9"/>
        <v>24000</v>
      </c>
      <c r="D30" s="322">
        <v>13378</v>
      </c>
      <c r="E30" s="323">
        <v>20000</v>
      </c>
      <c r="F30" s="322">
        <f t="shared" si="10"/>
        <v>19264.32</v>
      </c>
      <c r="G30" s="322">
        <v>1200</v>
      </c>
      <c r="H30" s="322">
        <f>162.5*12</f>
        <v>1950</v>
      </c>
      <c r="I30" s="322">
        <v>1200</v>
      </c>
      <c r="J30" s="322">
        <v>5000</v>
      </c>
      <c r="K30" s="322">
        <v>10000</v>
      </c>
      <c r="L30" s="322">
        <v>5000</v>
      </c>
      <c r="M30" s="322">
        <v>20000</v>
      </c>
      <c r="N30" t="s">
        <v>339</v>
      </c>
      <c r="O30" t="s">
        <v>326</v>
      </c>
      <c r="P30" t="s">
        <v>341</v>
      </c>
      <c r="Q30" t="s">
        <v>342</v>
      </c>
    </row>
    <row r="31" spans="1:17">
      <c r="A31" s="179" t="s">
        <v>704</v>
      </c>
      <c r="B31" s="322">
        <f t="shared" si="8"/>
        <v>139896</v>
      </c>
      <c r="C31" s="322">
        <f t="shared" si="9"/>
        <v>24000</v>
      </c>
      <c r="D31" s="322">
        <v>11658</v>
      </c>
      <c r="E31" s="323">
        <v>20000</v>
      </c>
      <c r="F31" s="322">
        <f t="shared" si="10"/>
        <v>16787.52</v>
      </c>
      <c r="G31" s="322">
        <v>1200</v>
      </c>
      <c r="H31" s="322">
        <v>1650</v>
      </c>
      <c r="I31" s="322">
        <v>1200</v>
      </c>
      <c r="J31" s="322">
        <v>5000</v>
      </c>
      <c r="K31" s="322">
        <v>8000</v>
      </c>
      <c r="L31" s="322">
        <v>5000</v>
      </c>
      <c r="M31" s="322">
        <v>20000</v>
      </c>
      <c r="N31" t="s">
        <v>343</v>
      </c>
      <c r="O31" t="s">
        <v>312</v>
      </c>
      <c r="P31" t="s">
        <v>344</v>
      </c>
      <c r="Q31" t="s">
        <v>306</v>
      </c>
    </row>
    <row r="32" spans="1:17">
      <c r="A32" s="179" t="s">
        <v>317</v>
      </c>
      <c r="B32" s="322">
        <f t="shared" si="8"/>
        <v>113736</v>
      </c>
      <c r="C32" s="322">
        <f t="shared" si="9"/>
        <v>24000</v>
      </c>
      <c r="D32" s="322">
        <v>9478</v>
      </c>
      <c r="E32" s="323">
        <v>15000</v>
      </c>
      <c r="F32" s="322">
        <f>B32*12%</f>
        <v>13648.32</v>
      </c>
      <c r="G32" s="322">
        <v>1200</v>
      </c>
      <c r="H32" s="322">
        <v>1350</v>
      </c>
      <c r="I32" s="322">
        <v>1200</v>
      </c>
      <c r="J32" s="322">
        <v>5000</v>
      </c>
      <c r="K32" s="322">
        <v>5000</v>
      </c>
      <c r="L32" s="322">
        <v>5000</v>
      </c>
      <c r="M32" s="322">
        <v>20000</v>
      </c>
      <c r="O32" t="s">
        <v>346</v>
      </c>
      <c r="P32" t="s">
        <v>347</v>
      </c>
      <c r="Q32" t="s">
        <v>306</v>
      </c>
    </row>
    <row r="33" spans="1:17">
      <c r="A33" s="179" t="s">
        <v>705</v>
      </c>
      <c r="B33" s="322">
        <v>134172</v>
      </c>
      <c r="C33" s="322">
        <v>24000</v>
      </c>
      <c r="D33" s="322">
        <v>11658</v>
      </c>
      <c r="E33" s="323"/>
      <c r="F33" s="322">
        <v>16100.64</v>
      </c>
      <c r="G33" s="322">
        <v>1200</v>
      </c>
      <c r="H33" s="322">
        <v>1650</v>
      </c>
      <c r="I33" s="322">
        <v>1200</v>
      </c>
      <c r="J33" s="322">
        <v>5000</v>
      </c>
      <c r="K33" s="322">
        <v>5000</v>
      </c>
      <c r="L33" s="322">
        <v>5000</v>
      </c>
      <c r="M33" s="322">
        <v>20000</v>
      </c>
      <c r="N33" t="s">
        <v>345</v>
      </c>
      <c r="O33" t="s">
        <v>312</v>
      </c>
      <c r="P33" t="s">
        <v>344</v>
      </c>
      <c r="Q33" t="s">
        <v>306</v>
      </c>
    </row>
    <row r="34" spans="1:17">
      <c r="A34" s="72" t="s">
        <v>163</v>
      </c>
      <c r="B34" s="324">
        <f>SUM(B26:B33)</f>
        <v>1250052</v>
      </c>
      <c r="C34" s="324">
        <f>SUM(C26:C33)</f>
        <v>192000</v>
      </c>
      <c r="D34" s="324">
        <f>SUM(D26:D33)</f>
        <v>106064</v>
      </c>
      <c r="E34" s="324">
        <f t="shared" ref="E34" si="11">SUM(E26:E32)</f>
        <v>208000</v>
      </c>
      <c r="F34" s="324">
        <f t="shared" ref="F34:M34" si="12">SUM(F26:F33)</f>
        <v>150006.24</v>
      </c>
      <c r="G34" s="324">
        <f t="shared" si="12"/>
        <v>9600</v>
      </c>
      <c r="H34" s="324">
        <f t="shared" si="12"/>
        <v>15300</v>
      </c>
      <c r="I34" s="324">
        <f t="shared" si="12"/>
        <v>9600</v>
      </c>
      <c r="J34" s="324">
        <f t="shared" si="12"/>
        <v>40000</v>
      </c>
      <c r="K34" s="324">
        <f t="shared" si="12"/>
        <v>78000</v>
      </c>
      <c r="L34" s="324">
        <f t="shared" si="12"/>
        <v>40000</v>
      </c>
      <c r="M34" s="324">
        <f t="shared" si="12"/>
        <v>160000</v>
      </c>
    </row>
    <row r="35" spans="1:17">
      <c r="A35" s="179" t="s">
        <v>348</v>
      </c>
      <c r="B35" s="322">
        <f>250*2*22*12</f>
        <v>132000</v>
      </c>
      <c r="C35" s="322">
        <v>0</v>
      </c>
      <c r="D35" s="322">
        <v>0</v>
      </c>
      <c r="E35" s="323">
        <v>10000</v>
      </c>
      <c r="F35" s="322">
        <v>0</v>
      </c>
      <c r="G35" s="322">
        <v>0</v>
      </c>
      <c r="H35" s="322">
        <v>2400</v>
      </c>
      <c r="I35" s="322">
        <v>2400</v>
      </c>
      <c r="J35" s="322">
        <v>0</v>
      </c>
      <c r="K35" s="322">
        <v>0</v>
      </c>
      <c r="L35" s="322">
        <v>0</v>
      </c>
      <c r="M35" s="322">
        <v>0</v>
      </c>
    </row>
    <row r="36" spans="1:17" ht="12.75" customHeight="1">
      <c r="A36" s="72" t="s">
        <v>163</v>
      </c>
      <c r="B36" s="326">
        <f t="shared" ref="B36:M36" si="13">SUM(B35:B35)</f>
        <v>132000</v>
      </c>
      <c r="C36" s="326">
        <f t="shared" si="13"/>
        <v>0</v>
      </c>
      <c r="D36" s="326">
        <f t="shared" si="13"/>
        <v>0</v>
      </c>
      <c r="E36" s="327">
        <f t="shared" si="13"/>
        <v>10000</v>
      </c>
      <c r="F36" s="326">
        <f t="shared" si="13"/>
        <v>0</v>
      </c>
      <c r="G36" s="326">
        <f t="shared" si="13"/>
        <v>0</v>
      </c>
      <c r="H36" s="326">
        <f t="shared" si="13"/>
        <v>2400</v>
      </c>
      <c r="I36" s="326">
        <f t="shared" si="13"/>
        <v>2400</v>
      </c>
      <c r="J36" s="326">
        <f t="shared" si="13"/>
        <v>0</v>
      </c>
      <c r="K36" s="326">
        <f t="shared" si="13"/>
        <v>0</v>
      </c>
      <c r="L36" s="326">
        <f t="shared" si="13"/>
        <v>0</v>
      </c>
      <c r="M36" s="326">
        <f t="shared" si="13"/>
        <v>0</v>
      </c>
    </row>
    <row r="37" spans="1:17">
      <c r="A37" s="36" t="s">
        <v>166</v>
      </c>
      <c r="B37" s="324">
        <f t="shared" ref="B37:M37" si="14">B16+B24+B34+B36</f>
        <v>4316064</v>
      </c>
      <c r="C37" s="324">
        <f t="shared" si="14"/>
        <v>648000</v>
      </c>
      <c r="D37" s="324">
        <f t="shared" si="14"/>
        <v>351956</v>
      </c>
      <c r="E37" s="324">
        <f t="shared" si="14"/>
        <v>278500</v>
      </c>
      <c r="F37" s="324">
        <f t="shared" si="14"/>
        <v>502087.67999999999</v>
      </c>
      <c r="G37" s="324">
        <f t="shared" si="14"/>
        <v>26400</v>
      </c>
      <c r="H37" s="324">
        <f t="shared" si="14"/>
        <v>50400</v>
      </c>
      <c r="I37" s="324">
        <f t="shared" si="14"/>
        <v>28800</v>
      </c>
      <c r="J37" s="324">
        <f t="shared" si="14"/>
        <v>110000</v>
      </c>
      <c r="K37" s="324">
        <f>K16+K24+K34</f>
        <v>223000</v>
      </c>
      <c r="L37" s="324">
        <f t="shared" si="14"/>
        <v>110000</v>
      </c>
      <c r="M37" s="324">
        <f t="shared" si="14"/>
        <v>440000</v>
      </c>
    </row>
    <row r="39" spans="1:17">
      <c r="L39" s="226"/>
      <c r="M39" s="226"/>
      <c r="N39" s="226">
        <f>SUM(B37:M37)</f>
        <v>7085207.6799999997</v>
      </c>
    </row>
  </sheetData>
  <mergeCells count="4">
    <mergeCell ref="A3:N3"/>
    <mergeCell ref="A1:N1"/>
    <mergeCell ref="A2:N2"/>
    <mergeCell ref="K4:K6"/>
  </mergeCells>
  <pageMargins left="0.5" right="1.5" top="0.5" bottom="0.5" header="0.3" footer="0.3"/>
  <pageSetup paperSize="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6"/>
  <sheetViews>
    <sheetView topLeftCell="A67" zoomScale="136" zoomScaleNormal="136" workbookViewId="0">
      <selection activeCell="H84" sqref="H84"/>
    </sheetView>
  </sheetViews>
  <sheetFormatPr defaultRowHeight="15"/>
  <cols>
    <col min="1" max="1" width="2.140625" customWidth="1"/>
    <col min="2" max="2" width="34.28515625" customWidth="1"/>
    <col min="3" max="3" width="26.140625" hidden="1" customWidth="1"/>
    <col min="4" max="4" width="0" hidden="1" customWidth="1"/>
    <col min="5" max="5" width="7.7109375" hidden="1" customWidth="1"/>
    <col min="6" max="6" width="12.5703125" customWidth="1"/>
    <col min="7" max="8" width="14" customWidth="1"/>
    <col min="9" max="9" width="13.5703125" customWidth="1"/>
    <col min="11" max="11" width="11.7109375" bestFit="1" customWidth="1"/>
    <col min="12" max="12" width="14.42578125" customWidth="1"/>
  </cols>
  <sheetData>
    <row r="1" spans="1:10" ht="20.2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15"/>
    </row>
    <row r="2" spans="1:10">
      <c r="A2" s="351" t="s">
        <v>168</v>
      </c>
      <c r="B2" s="351"/>
      <c r="C2" s="351"/>
      <c r="D2" s="351"/>
      <c r="E2" s="351"/>
      <c r="F2" s="351"/>
      <c r="G2" s="351"/>
      <c r="H2" s="351"/>
      <c r="I2" s="351"/>
      <c r="J2" s="88"/>
    </row>
    <row r="3" spans="1:10">
      <c r="A3" s="352" t="s">
        <v>567</v>
      </c>
      <c r="B3" s="352"/>
      <c r="C3" s="352"/>
      <c r="D3" s="352"/>
      <c r="E3" s="352"/>
      <c r="F3" s="352"/>
      <c r="G3" s="352"/>
      <c r="H3" s="352"/>
      <c r="I3" s="352"/>
      <c r="J3" s="89"/>
    </row>
    <row r="4" spans="1:10" ht="6" customHeight="1"/>
    <row r="5" spans="1:10" ht="12.75" customHeight="1">
      <c r="A5" s="90"/>
      <c r="B5" s="70"/>
      <c r="C5" s="70"/>
      <c r="D5" s="70"/>
      <c r="E5" s="82"/>
      <c r="F5" s="91" t="s">
        <v>169</v>
      </c>
      <c r="G5" s="91"/>
      <c r="H5" s="70"/>
      <c r="I5" s="69"/>
    </row>
    <row r="6" spans="1:10" ht="12" customHeight="1">
      <c r="A6" s="257"/>
      <c r="B6" s="93"/>
      <c r="C6" s="93"/>
      <c r="D6" s="93"/>
      <c r="E6" s="258"/>
      <c r="F6" s="94" t="s">
        <v>558</v>
      </c>
      <c r="G6" s="94" t="s">
        <v>170</v>
      </c>
      <c r="H6" s="95" t="s">
        <v>171</v>
      </c>
      <c r="I6" s="94"/>
    </row>
    <row r="7" spans="1:10">
      <c r="A7" s="353" t="s">
        <v>172</v>
      </c>
      <c r="B7" s="354"/>
      <c r="C7" s="354"/>
      <c r="D7" s="354"/>
      <c r="E7" s="355"/>
      <c r="F7" s="170">
        <v>2015</v>
      </c>
      <c r="G7" s="170">
        <v>2015</v>
      </c>
      <c r="H7" s="170" t="s">
        <v>574</v>
      </c>
      <c r="I7" s="170" t="s">
        <v>575</v>
      </c>
    </row>
    <row r="8" spans="1:10" ht="12" customHeight="1">
      <c r="A8" s="259" t="s">
        <v>173</v>
      </c>
      <c r="B8" s="40"/>
      <c r="C8" s="93"/>
      <c r="D8" s="93"/>
      <c r="E8" s="258"/>
      <c r="F8" s="104"/>
      <c r="G8" s="104"/>
      <c r="H8" s="104"/>
      <c r="I8" s="104"/>
    </row>
    <row r="9" spans="1:10" ht="14.1" customHeight="1">
      <c r="A9" s="100"/>
      <c r="B9" s="101" t="s">
        <v>174</v>
      </c>
      <c r="C9" s="101" t="s">
        <v>174</v>
      </c>
      <c r="D9" s="101"/>
      <c r="E9" s="105"/>
      <c r="F9" s="200">
        <v>1113262.92</v>
      </c>
      <c r="G9" s="200">
        <v>1456932</v>
      </c>
      <c r="H9" s="200">
        <f>Personnel!B16</f>
        <v>1885404</v>
      </c>
      <c r="I9" s="200">
        <f>H9-G9</f>
        <v>428472</v>
      </c>
      <c r="J9" s="40"/>
    </row>
    <row r="10" spans="1:10" ht="14.1" customHeight="1">
      <c r="A10" s="87"/>
      <c r="B10" s="93" t="s">
        <v>175</v>
      </c>
      <c r="C10" s="93" t="s">
        <v>175</v>
      </c>
      <c r="D10" s="103"/>
      <c r="E10" s="258"/>
      <c r="F10" s="200">
        <v>220000</v>
      </c>
      <c r="G10" s="200">
        <v>264000</v>
      </c>
      <c r="H10" s="200">
        <f>Personnel!C16</f>
        <v>312000</v>
      </c>
      <c r="I10" s="200">
        <f t="shared" ref="I10:I12" si="0">H10-G10</f>
        <v>48000</v>
      </c>
      <c r="J10" s="40"/>
    </row>
    <row r="11" spans="1:10" ht="14.1" customHeight="1">
      <c r="A11" s="100"/>
      <c r="B11" s="101" t="s">
        <v>176</v>
      </c>
      <c r="C11" s="101" t="s">
        <v>176</v>
      </c>
      <c r="D11" s="101"/>
      <c r="E11" s="105"/>
      <c r="F11" s="200">
        <v>58538.5</v>
      </c>
      <c r="G11" s="200">
        <v>121411</v>
      </c>
      <c r="H11" s="200">
        <f>Personnel!D16</f>
        <v>158031</v>
      </c>
      <c r="I11" s="200">
        <f t="shared" si="0"/>
        <v>36620</v>
      </c>
      <c r="J11" s="40"/>
    </row>
    <row r="12" spans="1:10" ht="14.1" customHeight="1">
      <c r="A12" s="87"/>
      <c r="B12" s="256" t="s">
        <v>527</v>
      </c>
      <c r="C12" s="101" t="s">
        <v>177</v>
      </c>
      <c r="D12" s="93"/>
      <c r="E12" s="258"/>
      <c r="F12" s="201">
        <f>SUM(F9:F11)</f>
        <v>1391801.42</v>
      </c>
      <c r="G12" s="201">
        <f>SUM(G9:G11)</f>
        <v>1842343</v>
      </c>
      <c r="H12" s="201">
        <f>SUM(H9:H11)</f>
        <v>2355435</v>
      </c>
      <c r="I12" s="201">
        <f t="shared" si="0"/>
        <v>513092</v>
      </c>
      <c r="J12" s="40"/>
    </row>
    <row r="13" spans="1:10" ht="10.5" customHeight="1">
      <c r="A13" s="260" t="s">
        <v>178</v>
      </c>
      <c r="B13" s="40"/>
      <c r="C13" s="101"/>
      <c r="D13" s="101"/>
      <c r="E13" s="105"/>
      <c r="F13" s="84"/>
      <c r="G13" s="84"/>
      <c r="H13" s="84"/>
      <c r="I13" s="84"/>
      <c r="J13" s="40"/>
    </row>
    <row r="14" spans="1:10" ht="14.1" customHeight="1">
      <c r="A14" s="87"/>
      <c r="B14" s="101" t="s">
        <v>174</v>
      </c>
      <c r="C14" s="93" t="s">
        <v>179</v>
      </c>
      <c r="D14" s="93"/>
      <c r="E14" s="258"/>
      <c r="F14" s="200">
        <v>541430</v>
      </c>
      <c r="G14" s="200">
        <v>879096</v>
      </c>
      <c r="H14" s="200">
        <f>Personnel!B24</f>
        <v>1048608</v>
      </c>
      <c r="I14" s="200">
        <f t="shared" ref="I14:I16" si="1">H14-G14</f>
        <v>169512</v>
      </c>
      <c r="J14" s="40"/>
    </row>
    <row r="15" spans="1:10" ht="14.1" customHeight="1">
      <c r="A15" s="100"/>
      <c r="B15" s="93" t="s">
        <v>175</v>
      </c>
      <c r="C15" s="101" t="s">
        <v>180</v>
      </c>
      <c r="D15" s="101"/>
      <c r="E15" s="105"/>
      <c r="F15" s="200">
        <v>100000</v>
      </c>
      <c r="G15" s="200">
        <v>120000</v>
      </c>
      <c r="H15" s="200">
        <f>Personnel!C24</f>
        <v>144000</v>
      </c>
      <c r="I15" s="200">
        <f t="shared" si="1"/>
        <v>24000</v>
      </c>
      <c r="J15" s="40"/>
    </row>
    <row r="16" spans="1:10" ht="14.1" customHeight="1">
      <c r="A16" s="100"/>
      <c r="B16" s="101" t="s">
        <v>176</v>
      </c>
      <c r="C16" s="101" t="s">
        <v>181</v>
      </c>
      <c r="D16" s="101"/>
      <c r="E16" s="105"/>
      <c r="F16" s="200">
        <v>28352</v>
      </c>
      <c r="G16" s="200">
        <v>73258</v>
      </c>
      <c r="H16" s="200">
        <f>Personnel!D24</f>
        <v>87861</v>
      </c>
      <c r="I16" s="200">
        <f t="shared" si="1"/>
        <v>14603</v>
      </c>
      <c r="J16" s="40"/>
    </row>
    <row r="17" spans="1:10" ht="14.1" customHeight="1">
      <c r="A17" s="87"/>
      <c r="B17" s="256" t="s">
        <v>527</v>
      </c>
      <c r="C17" s="93" t="s">
        <v>177</v>
      </c>
      <c r="D17" s="93"/>
      <c r="E17" s="258"/>
      <c r="F17" s="201">
        <f>SUM(F14:F16)</f>
        <v>669782</v>
      </c>
      <c r="G17" s="201">
        <f>SUM(G14:G16)</f>
        <v>1072354</v>
      </c>
      <c r="H17" s="201">
        <f>SUM(H14:H16)</f>
        <v>1280469</v>
      </c>
      <c r="I17" s="201">
        <f>SUM(I14:I16)</f>
        <v>208115</v>
      </c>
      <c r="J17" s="40"/>
    </row>
    <row r="18" spans="1:10" ht="3.75" customHeight="1">
      <c r="A18" s="100"/>
      <c r="B18" s="101"/>
      <c r="C18" s="101"/>
      <c r="D18" s="101"/>
      <c r="E18" s="105"/>
      <c r="F18" s="84"/>
      <c r="G18" s="84"/>
      <c r="H18" s="84"/>
      <c r="I18" s="84"/>
      <c r="J18" s="40"/>
    </row>
    <row r="19" spans="1:10" ht="10.5" customHeight="1">
      <c r="A19" s="260" t="s">
        <v>182</v>
      </c>
      <c r="B19" s="40"/>
      <c r="C19" s="93"/>
      <c r="D19" s="93"/>
      <c r="E19" s="258"/>
      <c r="F19" s="84"/>
      <c r="G19" s="84"/>
      <c r="H19" s="84"/>
      <c r="I19" s="84"/>
      <c r="J19" s="40"/>
    </row>
    <row r="20" spans="1:10" ht="14.1" customHeight="1">
      <c r="A20" s="100"/>
      <c r="B20" s="101" t="s">
        <v>179</v>
      </c>
      <c r="C20" s="101" t="s">
        <v>179</v>
      </c>
      <c r="D20" s="101"/>
      <c r="E20" s="105"/>
      <c r="F20" s="200">
        <v>811524</v>
      </c>
      <c r="G20" s="200">
        <v>1089900</v>
      </c>
      <c r="H20" s="200">
        <f>Personnel!B34</f>
        <v>1250052</v>
      </c>
      <c r="I20" s="200">
        <f t="shared" ref="I20:I22" si="2">H20-G20</f>
        <v>160152</v>
      </c>
      <c r="J20" s="40"/>
    </row>
    <row r="21" spans="1:10" ht="14.1" customHeight="1">
      <c r="A21" s="87"/>
      <c r="B21" s="93" t="s">
        <v>183</v>
      </c>
      <c r="C21" s="93" t="s">
        <v>183</v>
      </c>
      <c r="D21" s="93"/>
      <c r="E21" s="258"/>
      <c r="F21" s="200">
        <v>140000</v>
      </c>
      <c r="G21" s="200">
        <v>168000</v>
      </c>
      <c r="H21" s="200">
        <f>Personnel!C34</f>
        <v>192000</v>
      </c>
      <c r="I21" s="200">
        <f t="shared" si="2"/>
        <v>24000</v>
      </c>
      <c r="J21" s="40"/>
    </row>
    <row r="22" spans="1:10" ht="14.1" customHeight="1">
      <c r="A22" s="100"/>
      <c r="B22" s="101" t="s">
        <v>181</v>
      </c>
      <c r="C22" s="101" t="s">
        <v>181</v>
      </c>
      <c r="D22" s="101"/>
      <c r="E22" s="105"/>
      <c r="F22" s="200">
        <v>45240.5</v>
      </c>
      <c r="G22" s="200">
        <v>90825</v>
      </c>
      <c r="H22" s="200">
        <f>Personnel!D34</f>
        <v>106064</v>
      </c>
      <c r="I22" s="200">
        <f t="shared" si="2"/>
        <v>15239</v>
      </c>
      <c r="J22" s="40"/>
    </row>
    <row r="23" spans="1:10" ht="14.1" customHeight="1">
      <c r="A23" s="100"/>
      <c r="B23" s="101" t="s">
        <v>354</v>
      </c>
      <c r="C23" s="101" t="s">
        <v>354</v>
      </c>
      <c r="D23" s="101"/>
      <c r="E23" s="105"/>
      <c r="F23" s="200">
        <v>117734.9</v>
      </c>
      <c r="G23" s="200">
        <v>120000</v>
      </c>
      <c r="H23" s="200">
        <f>Personnel!B36</f>
        <v>132000</v>
      </c>
      <c r="I23" s="200"/>
      <c r="J23" s="40"/>
    </row>
    <row r="24" spans="1:10" ht="14.1" customHeight="1">
      <c r="A24" s="100"/>
      <c r="B24" s="256" t="s">
        <v>527</v>
      </c>
      <c r="C24" s="101" t="s">
        <v>177</v>
      </c>
      <c r="D24" s="101"/>
      <c r="E24" s="105"/>
      <c r="F24" s="201">
        <f>SUM(F20:F23)</f>
        <v>1114499.3999999999</v>
      </c>
      <c r="G24" s="201">
        <f>SUM(G20:G23)</f>
        <v>1468725</v>
      </c>
      <c r="H24" s="201">
        <f>SUM(H20:H23)</f>
        <v>1680116</v>
      </c>
      <c r="I24" s="201">
        <f>SUM(I20:I22)</f>
        <v>199391</v>
      </c>
      <c r="J24" s="40"/>
    </row>
    <row r="25" spans="1:10" ht="11.25" customHeight="1">
      <c r="A25" s="261" t="s">
        <v>526</v>
      </c>
      <c r="B25" s="93"/>
      <c r="C25" s="93"/>
      <c r="D25" s="93"/>
      <c r="E25" s="258"/>
      <c r="F25" s="83"/>
      <c r="G25" s="83"/>
      <c r="H25" s="202"/>
      <c r="I25" s="84"/>
      <c r="J25" s="40"/>
    </row>
    <row r="26" spans="1:10" ht="14.1" customHeight="1">
      <c r="A26" s="100"/>
      <c r="B26" s="101" t="s">
        <v>525</v>
      </c>
      <c r="C26" s="101"/>
      <c r="D26" s="101"/>
      <c r="E26" s="105"/>
      <c r="F26" s="200">
        <v>265626.26</v>
      </c>
      <c r="G26" s="200">
        <v>242050</v>
      </c>
      <c r="H26" s="200">
        <f>Personnel!E37</f>
        <v>278500</v>
      </c>
      <c r="I26" s="200">
        <f t="shared" ref="I26:I31" si="3">H26-G26</f>
        <v>36450</v>
      </c>
      <c r="J26" s="40"/>
    </row>
    <row r="27" spans="1:10" ht="14.1" customHeight="1">
      <c r="A27" s="100"/>
      <c r="B27" s="101" t="s">
        <v>524</v>
      </c>
      <c r="C27" s="101"/>
      <c r="D27" s="101"/>
      <c r="E27" s="105"/>
      <c r="F27" s="200">
        <v>85060</v>
      </c>
      <c r="G27" s="200">
        <v>90000</v>
      </c>
      <c r="H27" s="203">
        <f>Personnel!L37</f>
        <v>110000</v>
      </c>
      <c r="I27" s="200">
        <f t="shared" si="3"/>
        <v>20000</v>
      </c>
      <c r="J27" s="40"/>
    </row>
    <row r="28" spans="1:10" ht="14.1" customHeight="1">
      <c r="A28" s="87"/>
      <c r="B28" s="93" t="s">
        <v>184</v>
      </c>
      <c r="C28" s="93"/>
      <c r="D28" s="93" t="s">
        <v>184</v>
      </c>
      <c r="E28" s="258"/>
      <c r="F28" s="204"/>
      <c r="G28" s="204">
        <v>0</v>
      </c>
      <c r="H28" s="205">
        <v>69000</v>
      </c>
      <c r="I28" s="200">
        <f t="shared" si="3"/>
        <v>69000</v>
      </c>
      <c r="J28" s="40"/>
    </row>
    <row r="29" spans="1:10" ht="14.1" customHeight="1">
      <c r="A29" s="100"/>
      <c r="B29" s="101" t="s">
        <v>185</v>
      </c>
      <c r="C29" s="101"/>
      <c r="D29" s="101" t="s">
        <v>185</v>
      </c>
      <c r="E29" s="105"/>
      <c r="F29" s="200">
        <v>42500</v>
      </c>
      <c r="G29" s="200">
        <v>90000</v>
      </c>
      <c r="H29" s="203">
        <f>Personnel!J37</f>
        <v>110000</v>
      </c>
      <c r="I29" s="200">
        <f t="shared" si="3"/>
        <v>20000</v>
      </c>
      <c r="J29" s="40"/>
    </row>
    <row r="30" spans="1:10" ht="14.1" customHeight="1">
      <c r="A30" s="87"/>
      <c r="B30" s="93" t="s">
        <v>186</v>
      </c>
      <c r="C30" s="93"/>
      <c r="D30" s="93" t="s">
        <v>186</v>
      </c>
      <c r="E30" s="258"/>
      <c r="F30" s="204">
        <v>230767.26</v>
      </c>
      <c r="G30" s="204">
        <v>168000</v>
      </c>
      <c r="H30" s="205">
        <f>Personnel!K37</f>
        <v>223000</v>
      </c>
      <c r="I30" s="200">
        <f t="shared" si="3"/>
        <v>55000</v>
      </c>
      <c r="J30" s="40"/>
    </row>
    <row r="31" spans="1:10" ht="14.1" customHeight="1">
      <c r="A31" s="100"/>
      <c r="B31" s="101" t="s">
        <v>289</v>
      </c>
      <c r="C31" s="101"/>
      <c r="D31" s="101" t="s">
        <v>289</v>
      </c>
      <c r="E31" s="105"/>
      <c r="F31" s="200">
        <v>264208</v>
      </c>
      <c r="G31" s="200">
        <v>360000</v>
      </c>
      <c r="H31" s="203">
        <f>Personnel!M37</f>
        <v>440000</v>
      </c>
      <c r="I31" s="200">
        <f t="shared" si="3"/>
        <v>80000</v>
      </c>
      <c r="J31" s="40"/>
    </row>
    <row r="32" spans="1:10" ht="14.1" customHeight="1">
      <c r="A32" s="100"/>
      <c r="B32" s="256" t="s">
        <v>527</v>
      </c>
      <c r="C32" s="101"/>
      <c r="D32" s="101" t="s">
        <v>56</v>
      </c>
      <c r="E32" s="105"/>
      <c r="F32" s="201">
        <f>SUM(F26:F31)</f>
        <v>888161.52</v>
      </c>
      <c r="G32" s="201">
        <f>SUM(G26:G31)</f>
        <v>950050</v>
      </c>
      <c r="H32" s="201">
        <f>SUM(H26:H31)</f>
        <v>1230500</v>
      </c>
      <c r="I32" s="201">
        <f>SUM(I26:I31)</f>
        <v>280450</v>
      </c>
      <c r="J32" s="40"/>
    </row>
    <row r="33" spans="1:11" ht="6" customHeight="1">
      <c r="A33" s="87"/>
      <c r="B33" s="93"/>
      <c r="C33" s="93"/>
      <c r="D33" s="93"/>
      <c r="E33" s="258"/>
      <c r="F33" s="83"/>
      <c r="G33" s="83"/>
      <c r="H33" s="202"/>
      <c r="I33" s="206"/>
      <c r="J33" s="40"/>
    </row>
    <row r="34" spans="1:11" ht="14.1" customHeight="1">
      <c r="A34" s="100"/>
      <c r="B34" s="101" t="s">
        <v>737</v>
      </c>
      <c r="C34" s="101" t="s">
        <v>187</v>
      </c>
      <c r="D34" s="101"/>
      <c r="E34" s="105"/>
      <c r="F34" s="207">
        <v>323445.71000000002</v>
      </c>
      <c r="G34" s="207">
        <v>432471.36</v>
      </c>
      <c r="H34" s="203">
        <f>Personnel!F37+Personnel!G37</f>
        <v>528487.67999999993</v>
      </c>
      <c r="I34" s="200">
        <f t="shared" ref="I34:I36" si="4">H34-G34</f>
        <v>96016.319999999949</v>
      </c>
      <c r="J34" s="40"/>
    </row>
    <row r="35" spans="1:11" ht="14.1" customHeight="1">
      <c r="A35" s="100"/>
      <c r="B35" s="101" t="s">
        <v>738</v>
      </c>
      <c r="C35" s="101" t="s">
        <v>188</v>
      </c>
      <c r="D35" s="101"/>
      <c r="E35" s="105"/>
      <c r="F35" s="200">
        <v>17100</v>
      </c>
      <c r="G35" s="208">
        <v>36659.279999999999</v>
      </c>
      <c r="H35" s="208">
        <f>Personnel!I37</f>
        <v>28800</v>
      </c>
      <c r="I35" s="200">
        <f t="shared" si="4"/>
        <v>-7859.2799999999988</v>
      </c>
      <c r="J35" s="40"/>
    </row>
    <row r="36" spans="1:11" ht="14.1" customHeight="1">
      <c r="A36" s="87"/>
      <c r="B36" s="93" t="s">
        <v>739</v>
      </c>
      <c r="C36" s="93" t="s">
        <v>356</v>
      </c>
      <c r="D36" s="93"/>
      <c r="E36" s="258"/>
      <c r="F36" s="200">
        <v>29753</v>
      </c>
      <c r="G36" s="200">
        <v>42600</v>
      </c>
      <c r="H36" s="203">
        <f>Personnel!H37</f>
        <v>50400</v>
      </c>
      <c r="I36" s="200">
        <f t="shared" si="4"/>
        <v>7800</v>
      </c>
      <c r="J36" s="40"/>
    </row>
    <row r="37" spans="1:11" ht="14.1" customHeight="1">
      <c r="A37" s="100"/>
      <c r="B37" s="256" t="s">
        <v>527</v>
      </c>
      <c r="C37" s="101"/>
      <c r="D37" s="101" t="s">
        <v>288</v>
      </c>
      <c r="E37" s="105"/>
      <c r="F37" s="201">
        <f>SUM(F34:F36)</f>
        <v>370298.71</v>
      </c>
      <c r="G37" s="201">
        <f t="shared" ref="G37:I37" si="5">SUM(G34:G36)</f>
        <v>511730.64</v>
      </c>
      <c r="H37" s="201">
        <f t="shared" si="5"/>
        <v>607687.67999999993</v>
      </c>
      <c r="I37" s="201">
        <f t="shared" si="5"/>
        <v>95957.03999999995</v>
      </c>
      <c r="J37" s="40"/>
    </row>
    <row r="38" spans="1:11" ht="14.1" customHeight="1">
      <c r="A38" s="100"/>
      <c r="B38" s="101"/>
      <c r="C38" s="101"/>
      <c r="D38" s="101"/>
      <c r="E38" s="105"/>
      <c r="F38" s="209"/>
      <c r="G38" s="200"/>
      <c r="H38" s="197"/>
      <c r="I38" s="200"/>
      <c r="J38" s="40"/>
    </row>
    <row r="39" spans="1:11" ht="14.1" customHeight="1">
      <c r="A39" s="356" t="s">
        <v>290</v>
      </c>
      <c r="B39" s="357"/>
      <c r="C39" s="357"/>
      <c r="D39" s="357"/>
      <c r="E39" s="358"/>
      <c r="F39" s="262">
        <f>F12+F17+F24+F32+F37</f>
        <v>4434543.05</v>
      </c>
      <c r="G39" s="262">
        <f t="shared" ref="G39:I39" si="6">G12+G17+G24+G32+G37</f>
        <v>5845202.6399999997</v>
      </c>
      <c r="H39" s="262">
        <f t="shared" si="6"/>
        <v>7154207.6799999997</v>
      </c>
      <c r="I39" s="262">
        <f t="shared" si="6"/>
        <v>1297005.04</v>
      </c>
      <c r="J39" s="40"/>
    </row>
    <row r="40" spans="1:11" ht="4.5" customHeight="1">
      <c r="A40" s="87"/>
      <c r="B40" s="93"/>
      <c r="C40" s="93"/>
      <c r="D40" s="93"/>
      <c r="E40" s="93"/>
      <c r="F40" s="263"/>
      <c r="G40" s="264"/>
      <c r="H40" s="264"/>
      <c r="I40" s="265"/>
      <c r="J40" s="40"/>
    </row>
    <row r="41" spans="1:11" ht="14.1" customHeight="1">
      <c r="A41" s="354" t="s">
        <v>189</v>
      </c>
      <c r="B41" s="354"/>
      <c r="C41" s="354"/>
      <c r="D41" s="354"/>
      <c r="E41" s="354"/>
      <c r="F41" s="266"/>
      <c r="G41" s="267"/>
      <c r="H41" s="267"/>
      <c r="I41" s="268"/>
      <c r="J41" s="40"/>
    </row>
    <row r="42" spans="1:11" ht="14.1" customHeight="1">
      <c r="A42" s="100"/>
      <c r="B42" s="286" t="s">
        <v>282</v>
      </c>
      <c r="C42" s="286"/>
      <c r="D42" s="286"/>
      <c r="E42" s="286"/>
      <c r="F42" s="204">
        <v>5.38</v>
      </c>
      <c r="G42" s="200">
        <v>2000</v>
      </c>
      <c r="H42" s="197">
        <v>2000</v>
      </c>
      <c r="I42" s="209">
        <f t="shared" ref="I42:I61" si="7">H42-G42</f>
        <v>0</v>
      </c>
      <c r="J42" s="40"/>
      <c r="K42" s="227"/>
    </row>
    <row r="43" spans="1:11" ht="14.1" customHeight="1">
      <c r="A43" s="100"/>
      <c r="B43" s="286" t="s">
        <v>740</v>
      </c>
      <c r="C43" s="286"/>
      <c r="D43" s="286"/>
      <c r="E43" s="286"/>
      <c r="F43" s="200">
        <v>22800</v>
      </c>
      <c r="G43" s="200">
        <v>50000</v>
      </c>
      <c r="H43" s="203">
        <v>50000</v>
      </c>
      <c r="I43" s="200">
        <f t="shared" si="7"/>
        <v>0</v>
      </c>
      <c r="J43" s="40"/>
      <c r="K43" s="227"/>
    </row>
    <row r="44" spans="1:11" ht="14.1" customHeight="1">
      <c r="A44" s="87"/>
      <c r="B44" s="286" t="s">
        <v>741</v>
      </c>
      <c r="C44" s="286"/>
      <c r="D44" s="286"/>
      <c r="E44" s="286"/>
      <c r="F44" s="204">
        <v>117734.9</v>
      </c>
      <c r="G44" s="200">
        <v>20000</v>
      </c>
      <c r="H44" s="203">
        <v>140000</v>
      </c>
      <c r="I44" s="200">
        <f t="shared" si="7"/>
        <v>120000</v>
      </c>
      <c r="J44" s="40"/>
      <c r="K44" s="227"/>
    </row>
    <row r="45" spans="1:11" ht="14.1" customHeight="1">
      <c r="A45" s="100"/>
      <c r="B45" s="286" t="s">
        <v>742</v>
      </c>
      <c r="C45" s="286"/>
      <c r="D45" s="286"/>
      <c r="E45" s="286"/>
      <c r="F45" s="200">
        <v>49795.67</v>
      </c>
      <c r="G45" s="200">
        <v>140000</v>
      </c>
      <c r="H45" s="203">
        <v>100000</v>
      </c>
      <c r="I45" s="200">
        <f t="shared" si="7"/>
        <v>-40000</v>
      </c>
      <c r="J45" s="40"/>
      <c r="K45" s="228"/>
    </row>
    <row r="46" spans="1:11" ht="14.1" customHeight="1">
      <c r="A46" s="87"/>
      <c r="B46" s="286" t="s">
        <v>743</v>
      </c>
      <c r="C46" s="286"/>
      <c r="D46" s="286"/>
      <c r="E46" s="286"/>
      <c r="F46" s="204">
        <v>48595.13</v>
      </c>
      <c r="G46" s="200">
        <v>100000</v>
      </c>
      <c r="H46" s="203">
        <v>100000</v>
      </c>
      <c r="I46" s="200">
        <f t="shared" si="7"/>
        <v>0</v>
      </c>
      <c r="J46" s="40"/>
      <c r="K46" s="228"/>
    </row>
    <row r="47" spans="1:11" ht="14.1" customHeight="1">
      <c r="A47" s="100"/>
      <c r="B47" s="286" t="s">
        <v>190</v>
      </c>
      <c r="C47" s="286"/>
      <c r="D47" s="286"/>
      <c r="E47" s="286"/>
      <c r="F47" s="200">
        <v>76308.429999999993</v>
      </c>
      <c r="G47" s="200">
        <v>14000</v>
      </c>
      <c r="H47" s="203">
        <v>90000</v>
      </c>
      <c r="I47" s="200">
        <f t="shared" si="7"/>
        <v>76000</v>
      </c>
      <c r="J47" s="40"/>
      <c r="K47" s="228"/>
    </row>
    <row r="48" spans="1:11" ht="14.1" customHeight="1">
      <c r="A48" s="87"/>
      <c r="B48" s="286" t="s">
        <v>745</v>
      </c>
      <c r="C48" s="286"/>
      <c r="D48" s="286"/>
      <c r="E48" s="286"/>
      <c r="F48" s="204">
        <v>238919.88</v>
      </c>
      <c r="G48" s="200">
        <v>220000</v>
      </c>
      <c r="H48" s="203">
        <v>260000</v>
      </c>
      <c r="I48" s="200">
        <f t="shared" si="7"/>
        <v>40000</v>
      </c>
      <c r="J48" s="40"/>
      <c r="K48" s="228"/>
    </row>
    <row r="49" spans="1:11" ht="14.1" customHeight="1">
      <c r="A49" s="100"/>
      <c r="B49" s="286" t="s">
        <v>744</v>
      </c>
      <c r="C49" s="286"/>
      <c r="D49" s="286"/>
      <c r="E49" s="286"/>
      <c r="F49" s="200">
        <v>112890.03</v>
      </c>
      <c r="G49" s="200">
        <v>110000</v>
      </c>
      <c r="H49" s="203">
        <v>110000</v>
      </c>
      <c r="I49" s="200">
        <f t="shared" si="7"/>
        <v>0</v>
      </c>
      <c r="J49" s="40"/>
      <c r="K49" s="228"/>
    </row>
    <row r="50" spans="1:11" ht="14.1" customHeight="1">
      <c r="A50" s="104"/>
      <c r="B50" s="286" t="s">
        <v>746</v>
      </c>
      <c r="C50" s="286"/>
      <c r="D50" s="286"/>
      <c r="E50" s="286"/>
      <c r="F50" s="200">
        <v>820</v>
      </c>
      <c r="G50" s="200">
        <v>6000</v>
      </c>
      <c r="H50" s="200">
        <v>3000</v>
      </c>
      <c r="I50" s="200">
        <f t="shared" si="7"/>
        <v>-3000</v>
      </c>
      <c r="J50" s="40"/>
      <c r="K50" s="228"/>
    </row>
    <row r="51" spans="1:11" ht="14.1" customHeight="1">
      <c r="A51" s="104"/>
      <c r="B51" s="286" t="s">
        <v>191</v>
      </c>
      <c r="C51" s="286"/>
      <c r="D51" s="286"/>
      <c r="E51" s="286"/>
      <c r="F51" s="200">
        <v>82640</v>
      </c>
      <c r="G51" s="200">
        <v>100000</v>
      </c>
      <c r="H51" s="200">
        <v>150000</v>
      </c>
      <c r="I51" s="200">
        <f t="shared" si="7"/>
        <v>50000</v>
      </c>
      <c r="J51" s="40"/>
      <c r="K51" s="228"/>
    </row>
    <row r="52" spans="1:11" ht="14.1" customHeight="1">
      <c r="A52" s="104"/>
      <c r="B52" s="286" t="s">
        <v>747</v>
      </c>
      <c r="C52" s="286"/>
      <c r="D52" s="286"/>
      <c r="E52" s="286"/>
      <c r="F52" s="200">
        <v>76933.83</v>
      </c>
      <c r="G52" s="200">
        <v>90000</v>
      </c>
      <c r="H52" s="200">
        <v>100000</v>
      </c>
      <c r="I52" s="200">
        <f t="shared" si="7"/>
        <v>10000</v>
      </c>
      <c r="J52" s="40"/>
      <c r="K52" s="228"/>
    </row>
    <row r="53" spans="1:11" ht="14.1" customHeight="1">
      <c r="A53" s="104"/>
      <c r="B53" s="286" t="s">
        <v>192</v>
      </c>
      <c r="C53" s="286"/>
      <c r="D53" s="286"/>
      <c r="E53" s="286"/>
      <c r="F53" s="200"/>
      <c r="G53" s="200">
        <v>50000</v>
      </c>
      <c r="H53" s="200">
        <v>100000</v>
      </c>
      <c r="I53" s="200">
        <f t="shared" si="7"/>
        <v>50000</v>
      </c>
      <c r="J53" s="40"/>
      <c r="K53" s="228"/>
    </row>
    <row r="54" spans="1:11" ht="14.1" customHeight="1">
      <c r="A54" s="104"/>
      <c r="B54" s="286" t="s">
        <v>748</v>
      </c>
      <c r="C54" s="286"/>
      <c r="D54" s="286"/>
      <c r="E54" s="286"/>
      <c r="F54" s="200">
        <v>156880</v>
      </c>
      <c r="G54" s="200">
        <v>373200</v>
      </c>
      <c r="H54" s="200">
        <v>373200</v>
      </c>
      <c r="I54" s="200">
        <f t="shared" si="7"/>
        <v>0</v>
      </c>
      <c r="J54" s="40"/>
      <c r="K54" s="228"/>
    </row>
    <row r="55" spans="1:11" ht="14.1" customHeight="1">
      <c r="A55" s="104"/>
      <c r="B55" s="286" t="s">
        <v>193</v>
      </c>
      <c r="C55" s="286"/>
      <c r="D55" s="286"/>
      <c r="E55" s="286"/>
      <c r="F55" s="200">
        <v>11743</v>
      </c>
      <c r="G55" s="200">
        <v>20000</v>
      </c>
      <c r="H55" s="200">
        <v>20000</v>
      </c>
      <c r="I55" s="200">
        <f t="shared" si="7"/>
        <v>0</v>
      </c>
      <c r="J55" s="40"/>
      <c r="K55" s="228"/>
    </row>
    <row r="56" spans="1:11" ht="14.1" customHeight="1">
      <c r="A56" s="104"/>
      <c r="B56" s="286" t="s">
        <v>194</v>
      </c>
      <c r="C56" s="286"/>
      <c r="D56" s="286"/>
      <c r="E56" s="286"/>
      <c r="F56" s="200"/>
      <c r="G56" s="200">
        <v>20000</v>
      </c>
      <c r="H56" s="200">
        <v>20000</v>
      </c>
      <c r="I56" s="200">
        <f t="shared" si="7"/>
        <v>0</v>
      </c>
      <c r="J56" s="40"/>
      <c r="K56" s="228"/>
    </row>
    <row r="57" spans="1:11" ht="14.1" customHeight="1">
      <c r="A57" s="104"/>
      <c r="B57" s="286" t="s">
        <v>749</v>
      </c>
      <c r="C57" s="286"/>
      <c r="D57" s="286"/>
      <c r="E57" s="286"/>
      <c r="F57" s="200">
        <v>194772.4</v>
      </c>
      <c r="G57" s="200">
        <v>300000</v>
      </c>
      <c r="H57" s="200">
        <v>250000</v>
      </c>
      <c r="I57" s="200">
        <f t="shared" si="7"/>
        <v>-50000</v>
      </c>
      <c r="J57" s="40"/>
      <c r="K57" s="228"/>
    </row>
    <row r="58" spans="1:11" ht="14.1" customHeight="1">
      <c r="A58" s="104"/>
      <c r="B58" s="286" t="s">
        <v>552</v>
      </c>
      <c r="C58" s="286"/>
      <c r="D58" s="286"/>
      <c r="E58" s="286"/>
      <c r="F58" s="200">
        <v>118893.16</v>
      </c>
      <c r="G58" s="200">
        <v>250000</v>
      </c>
      <c r="H58" s="200">
        <f>GAD!J16</f>
        <v>966344.92999999993</v>
      </c>
      <c r="I58" s="200">
        <f t="shared" si="7"/>
        <v>716344.92999999993</v>
      </c>
      <c r="J58" s="40"/>
      <c r="K58" s="228"/>
    </row>
    <row r="59" spans="1:11" ht="14.1" customHeight="1">
      <c r="A59" s="104"/>
      <c r="B59" s="286" t="s">
        <v>195</v>
      </c>
      <c r="C59" s="286"/>
      <c r="D59" s="286"/>
      <c r="E59" s="286"/>
      <c r="F59" s="200">
        <v>6477.5</v>
      </c>
      <c r="G59" s="200">
        <v>70000</v>
      </c>
      <c r="H59" s="200">
        <v>70000</v>
      </c>
      <c r="I59" s="200">
        <f t="shared" si="7"/>
        <v>0</v>
      </c>
      <c r="J59" s="40"/>
      <c r="K59" s="228"/>
    </row>
    <row r="60" spans="1:11" ht="14.1" customHeight="1">
      <c r="A60" s="104"/>
      <c r="B60" s="286" t="s">
        <v>196</v>
      </c>
      <c r="C60" s="286"/>
      <c r="D60" s="286"/>
      <c r="E60" s="286"/>
      <c r="F60" s="200">
        <v>268771.36</v>
      </c>
      <c r="G60" s="200">
        <v>365089.43</v>
      </c>
      <c r="H60" s="200">
        <f>Receipts!N11*0.02</f>
        <v>396873.89170630003</v>
      </c>
      <c r="I60" s="200">
        <f t="shared" si="7"/>
        <v>31784.461706300033</v>
      </c>
      <c r="J60" s="40"/>
      <c r="K60" s="226"/>
    </row>
    <row r="61" spans="1:11" ht="14.1" customHeight="1">
      <c r="A61" s="104"/>
      <c r="B61" s="286" t="s">
        <v>750</v>
      </c>
      <c r="C61" s="286"/>
      <c r="D61" s="286"/>
      <c r="E61" s="286"/>
      <c r="F61" s="200">
        <v>124546</v>
      </c>
      <c r="G61" s="200">
        <v>250000</v>
      </c>
      <c r="H61" s="200">
        <v>250000</v>
      </c>
      <c r="I61" s="200">
        <f t="shared" si="7"/>
        <v>0</v>
      </c>
      <c r="J61" s="40"/>
      <c r="K61" s="228"/>
    </row>
    <row r="62" spans="1:11" ht="14.1" customHeight="1">
      <c r="A62" s="104"/>
      <c r="B62" s="286" t="s">
        <v>717</v>
      </c>
      <c r="C62" s="286"/>
      <c r="D62" s="286"/>
      <c r="E62" s="286"/>
      <c r="F62" s="200">
        <v>17850</v>
      </c>
      <c r="G62" s="200"/>
      <c r="H62" s="200">
        <v>30000</v>
      </c>
      <c r="I62" s="200"/>
      <c r="J62" s="40"/>
      <c r="K62" s="228"/>
    </row>
    <row r="63" spans="1:11" ht="14.1" customHeight="1">
      <c r="A63" s="104"/>
      <c r="B63" s="286" t="s">
        <v>718</v>
      </c>
      <c r="C63" s="286"/>
      <c r="D63" s="286"/>
      <c r="E63" s="286"/>
      <c r="F63" s="200">
        <v>2800</v>
      </c>
      <c r="G63" s="200"/>
      <c r="H63" s="200">
        <v>4000</v>
      </c>
      <c r="I63" s="200"/>
      <c r="J63" s="40"/>
      <c r="K63" s="228"/>
    </row>
    <row r="64" spans="1:11" ht="14.1" customHeight="1">
      <c r="A64" s="104"/>
      <c r="B64" s="286" t="s">
        <v>197</v>
      </c>
      <c r="C64" s="286"/>
      <c r="D64" s="286"/>
      <c r="E64" s="286"/>
      <c r="F64" s="201">
        <f>SUM(F42:F63)</f>
        <v>1730176.67</v>
      </c>
      <c r="G64" s="201">
        <f t="shared" ref="G64:I64" si="8">SUM(G42:G60)</f>
        <v>2300289.4300000002</v>
      </c>
      <c r="H64" s="201">
        <f>SUM(H42:H63)</f>
        <v>3585418.8217062997</v>
      </c>
      <c r="I64" s="201">
        <f t="shared" si="8"/>
        <v>1001129.3917063</v>
      </c>
      <c r="J64" s="40"/>
    </row>
    <row r="65" spans="1:10" ht="7.5" customHeight="1"/>
    <row r="66" spans="1:10" ht="20.25">
      <c r="A66" s="343" t="s">
        <v>0</v>
      </c>
      <c r="B66" s="343"/>
      <c r="C66" s="343"/>
      <c r="D66" s="343"/>
      <c r="E66" s="343"/>
      <c r="F66" s="343"/>
      <c r="G66" s="343"/>
      <c r="H66" s="343"/>
      <c r="I66" s="343"/>
      <c r="J66" s="15"/>
    </row>
    <row r="67" spans="1:10">
      <c r="A67" s="351" t="s">
        <v>168</v>
      </c>
      <c r="B67" s="351"/>
      <c r="C67" s="351"/>
      <c r="D67" s="351"/>
      <c r="E67" s="351"/>
      <c r="F67" s="351"/>
      <c r="G67" s="351"/>
      <c r="H67" s="351"/>
      <c r="I67" s="351"/>
      <c r="J67" s="88"/>
    </row>
    <row r="68" spans="1:10">
      <c r="A68" s="352" t="s">
        <v>567</v>
      </c>
      <c r="B68" s="352"/>
      <c r="C68" s="352"/>
      <c r="D68" s="352"/>
      <c r="E68" s="352"/>
      <c r="F68" s="352"/>
      <c r="G68" s="352"/>
      <c r="H68" s="352"/>
      <c r="I68" s="352"/>
      <c r="J68" s="89"/>
    </row>
    <row r="70" spans="1:10">
      <c r="A70" s="90"/>
      <c r="B70" s="70"/>
      <c r="C70" s="70"/>
      <c r="D70" s="70"/>
      <c r="E70" s="70"/>
      <c r="F70" s="91" t="s">
        <v>169</v>
      </c>
      <c r="G70" s="91"/>
      <c r="H70" s="69"/>
      <c r="I70" s="69"/>
    </row>
    <row r="71" spans="1:10">
      <c r="A71" s="87"/>
      <c r="B71" s="40"/>
      <c r="C71" s="40"/>
      <c r="D71" s="40"/>
      <c r="E71" s="40"/>
      <c r="F71" s="94" t="s">
        <v>558</v>
      </c>
      <c r="G71" s="94" t="s">
        <v>198</v>
      </c>
      <c r="H71" s="94" t="s">
        <v>171</v>
      </c>
      <c r="I71" s="94"/>
    </row>
    <row r="72" spans="1:10">
      <c r="A72" s="73"/>
      <c r="B72" s="106"/>
      <c r="C72" s="106"/>
      <c r="D72" s="106"/>
      <c r="E72" s="106"/>
      <c r="F72" s="96">
        <v>2015</v>
      </c>
      <c r="G72" s="96">
        <v>2015</v>
      </c>
      <c r="H72" s="96" t="s">
        <v>574</v>
      </c>
      <c r="I72" s="96" t="s">
        <v>575</v>
      </c>
    </row>
    <row r="73" spans="1:10">
      <c r="A73" s="90"/>
      <c r="B73" s="171" t="s">
        <v>199</v>
      </c>
      <c r="C73" s="99"/>
      <c r="D73" s="99"/>
      <c r="E73" s="99"/>
      <c r="F73" s="69"/>
      <c r="G73" s="69"/>
      <c r="H73" s="69"/>
      <c r="I73" s="69"/>
    </row>
    <row r="74" spans="1:10">
      <c r="A74" s="100"/>
      <c r="B74" s="101" t="s">
        <v>200</v>
      </c>
      <c r="C74" s="101"/>
      <c r="D74" s="101"/>
      <c r="E74" s="101"/>
      <c r="F74" s="180"/>
      <c r="G74" s="180"/>
      <c r="H74" s="180"/>
      <c r="I74" s="180"/>
    </row>
    <row r="75" spans="1:10">
      <c r="A75" s="87"/>
      <c r="B75" s="93" t="s">
        <v>215</v>
      </c>
      <c r="C75" s="93"/>
      <c r="D75" s="93"/>
      <c r="E75" s="93"/>
      <c r="F75" s="177">
        <v>384514.9</v>
      </c>
      <c r="G75" s="178">
        <v>10000</v>
      </c>
      <c r="H75" s="178">
        <v>250000</v>
      </c>
      <c r="I75" s="175">
        <f t="shared" ref="I75:I77" si="9">H75-G75</f>
        <v>240000</v>
      </c>
    </row>
    <row r="76" spans="1:10">
      <c r="A76" s="100"/>
      <c r="B76" s="101" t="s">
        <v>202</v>
      </c>
      <c r="C76" s="101"/>
      <c r="D76" s="101"/>
      <c r="E76" s="101"/>
      <c r="F76" s="173">
        <v>36542.5</v>
      </c>
      <c r="G76" s="174">
        <v>15000</v>
      </c>
      <c r="H76" s="174">
        <v>40000</v>
      </c>
      <c r="I76" s="175">
        <f t="shared" si="9"/>
        <v>25000</v>
      </c>
    </row>
    <row r="77" spans="1:10">
      <c r="A77" s="87"/>
      <c r="B77" s="93" t="s">
        <v>203</v>
      </c>
      <c r="C77" s="93"/>
      <c r="D77" s="93"/>
      <c r="E77" s="93"/>
      <c r="F77" s="177"/>
      <c r="G77" s="178">
        <v>5000</v>
      </c>
      <c r="H77" s="178">
        <v>5000</v>
      </c>
      <c r="I77" s="175">
        <f t="shared" si="9"/>
        <v>0</v>
      </c>
    </row>
    <row r="78" spans="1:10">
      <c r="A78" s="100"/>
      <c r="B78" s="172" t="s">
        <v>204</v>
      </c>
      <c r="C78" s="101"/>
      <c r="D78" s="101"/>
      <c r="E78" s="101"/>
      <c r="F78" s="180"/>
      <c r="G78" s="174"/>
      <c r="H78" s="174"/>
      <c r="I78" s="174"/>
    </row>
    <row r="79" spans="1:10">
      <c r="A79" s="87"/>
      <c r="B79" s="93" t="s">
        <v>205</v>
      </c>
      <c r="C79" s="93"/>
      <c r="D79" s="93"/>
      <c r="E79" s="93"/>
      <c r="F79" s="179"/>
      <c r="G79" s="178"/>
      <c r="H79" s="178"/>
      <c r="I79" s="174"/>
    </row>
    <row r="80" spans="1:10">
      <c r="A80" s="100"/>
      <c r="B80" s="101" t="s">
        <v>206</v>
      </c>
      <c r="C80" s="101"/>
      <c r="D80" s="101"/>
      <c r="E80" s="101"/>
      <c r="F80" s="173"/>
      <c r="G80" s="174">
        <v>20000</v>
      </c>
      <c r="H80" s="176">
        <v>20000</v>
      </c>
      <c r="I80" s="175">
        <f t="shared" ref="I80:I85" si="10">H80-G80</f>
        <v>0</v>
      </c>
    </row>
    <row r="81" spans="1:12">
      <c r="A81" s="87"/>
      <c r="B81" s="93" t="s">
        <v>207</v>
      </c>
      <c r="C81" s="93"/>
      <c r="D81" s="93"/>
      <c r="E81" s="93"/>
      <c r="F81" s="177">
        <v>1212327.1399999999</v>
      </c>
      <c r="G81" s="178">
        <v>1524686</v>
      </c>
      <c r="H81" s="176">
        <f>F81/10*12*1.1</f>
        <v>1600271.8248000001</v>
      </c>
      <c r="I81" s="175">
        <f t="shared" si="10"/>
        <v>75585.82480000006</v>
      </c>
      <c r="K81" t="s">
        <v>291</v>
      </c>
      <c r="L81" s="8">
        <f>H39+H64-H61+H80+H81+H88</f>
        <v>12229898.326506298</v>
      </c>
    </row>
    <row r="82" spans="1:12">
      <c r="A82" s="100"/>
      <c r="B82" s="101" t="s">
        <v>201</v>
      </c>
      <c r="C82" s="101"/>
      <c r="D82" s="101"/>
      <c r="E82" s="101"/>
      <c r="F82" s="173"/>
      <c r="G82" s="174">
        <v>10000</v>
      </c>
      <c r="H82" s="176">
        <v>10000</v>
      </c>
      <c r="I82" s="175">
        <f t="shared" si="10"/>
        <v>0</v>
      </c>
    </row>
    <row r="83" spans="1:12">
      <c r="A83" s="87"/>
      <c r="B83" s="93" t="s">
        <v>208</v>
      </c>
      <c r="C83" s="93"/>
      <c r="D83" s="93"/>
      <c r="E83" s="93"/>
      <c r="F83" s="177">
        <v>45500</v>
      </c>
      <c r="G83" s="178">
        <v>75000</v>
      </c>
      <c r="H83" s="176">
        <v>50000</v>
      </c>
      <c r="I83" s="175">
        <f t="shared" si="10"/>
        <v>-25000</v>
      </c>
      <c r="K83" t="s">
        <v>292</v>
      </c>
      <c r="L83" s="195">
        <f>H100-L81</f>
        <v>1400000</v>
      </c>
    </row>
    <row r="84" spans="1:12">
      <c r="A84" s="100"/>
      <c r="B84" s="101" t="s">
        <v>209</v>
      </c>
      <c r="C84" s="101"/>
      <c r="D84" s="101"/>
      <c r="E84" s="101"/>
      <c r="F84" s="173">
        <v>31096.52</v>
      </c>
      <c r="G84" s="174">
        <v>80000</v>
      </c>
      <c r="H84" s="176">
        <v>60000</v>
      </c>
      <c r="I84" s="175">
        <f t="shared" si="10"/>
        <v>-20000</v>
      </c>
    </row>
    <row r="85" spans="1:12">
      <c r="A85" s="87"/>
      <c r="B85" s="93" t="s">
        <v>210</v>
      </c>
      <c r="C85" s="93"/>
      <c r="D85" s="93"/>
      <c r="E85" s="93"/>
      <c r="F85" s="177">
        <v>12907</v>
      </c>
      <c r="G85" s="178">
        <v>5000</v>
      </c>
      <c r="H85" s="176">
        <v>5000</v>
      </c>
      <c r="I85" s="175">
        <f t="shared" si="10"/>
        <v>0</v>
      </c>
    </row>
    <row r="86" spans="1:12">
      <c r="A86" s="100"/>
      <c r="B86" s="172" t="s">
        <v>211</v>
      </c>
      <c r="C86" s="101"/>
      <c r="D86" s="101"/>
      <c r="E86" s="101"/>
      <c r="F86" s="180"/>
      <c r="G86" s="174"/>
      <c r="H86" s="174"/>
      <c r="I86" s="174"/>
    </row>
    <row r="87" spans="1:12">
      <c r="A87" s="87"/>
      <c r="B87" s="93" t="s">
        <v>205</v>
      </c>
      <c r="C87" s="93"/>
      <c r="D87" s="93"/>
      <c r="E87" s="93"/>
      <c r="F87" s="179"/>
      <c r="G87" s="178"/>
      <c r="H87" s="178"/>
      <c r="I87" s="174"/>
    </row>
    <row r="88" spans="1:12">
      <c r="A88" s="100"/>
      <c r="B88" s="101" t="s">
        <v>212</v>
      </c>
      <c r="C88" s="101"/>
      <c r="D88" s="101"/>
      <c r="E88" s="101"/>
      <c r="F88" s="173">
        <v>101503.22</v>
      </c>
      <c r="G88" s="174">
        <v>120000</v>
      </c>
      <c r="H88" s="176">
        <v>120000</v>
      </c>
      <c r="I88" s="175">
        <f t="shared" ref="I88:I90" si="11">H88-G88</f>
        <v>0</v>
      </c>
    </row>
    <row r="89" spans="1:12">
      <c r="A89" s="87"/>
      <c r="B89" s="93" t="s">
        <v>201</v>
      </c>
      <c r="C89" s="93"/>
      <c r="D89" s="93"/>
      <c r="E89" s="93"/>
      <c r="F89" s="177"/>
      <c r="G89" s="178">
        <v>5000</v>
      </c>
      <c r="H89" s="176">
        <v>10000</v>
      </c>
      <c r="I89" s="175">
        <f t="shared" si="11"/>
        <v>5000</v>
      </c>
    </row>
    <row r="90" spans="1:12">
      <c r="A90" s="100"/>
      <c r="B90" s="101" t="s">
        <v>213</v>
      </c>
      <c r="C90" s="101"/>
      <c r="D90" s="101"/>
      <c r="E90" s="101"/>
      <c r="F90" s="173">
        <v>28683</v>
      </c>
      <c r="G90" s="174">
        <v>12000</v>
      </c>
      <c r="H90" s="176">
        <v>50000</v>
      </c>
      <c r="I90" s="175">
        <f t="shared" si="11"/>
        <v>38000</v>
      </c>
    </row>
    <row r="91" spans="1:12">
      <c r="A91" s="87"/>
      <c r="B91" s="92" t="s">
        <v>214</v>
      </c>
      <c r="C91" s="93"/>
      <c r="D91" s="93"/>
      <c r="E91" s="93"/>
      <c r="F91" s="72"/>
      <c r="G91" s="77"/>
      <c r="H91" s="77"/>
      <c r="I91" s="102"/>
    </row>
    <row r="92" spans="1:12">
      <c r="A92" s="100"/>
      <c r="B92" s="101" t="s">
        <v>751</v>
      </c>
      <c r="C92" s="101"/>
      <c r="D92" s="101"/>
      <c r="E92" s="101"/>
      <c r="F92" s="104"/>
      <c r="G92" s="102"/>
      <c r="H92" s="102"/>
      <c r="I92" s="102"/>
    </row>
    <row r="93" spans="1:12">
      <c r="A93" s="87"/>
      <c r="B93" s="93" t="s">
        <v>215</v>
      </c>
      <c r="C93" s="93"/>
      <c r="D93" s="93"/>
      <c r="E93" s="93"/>
      <c r="F93" s="177"/>
      <c r="G93" s="178">
        <v>100000</v>
      </c>
      <c r="H93" s="176">
        <v>50000</v>
      </c>
      <c r="I93" s="175">
        <f t="shared" ref="I93:I99" si="12">H93-G93</f>
        <v>-50000</v>
      </c>
    </row>
    <row r="94" spans="1:12">
      <c r="A94" s="100"/>
      <c r="B94" s="101" t="s">
        <v>216</v>
      </c>
      <c r="C94" s="101"/>
      <c r="D94" s="101"/>
      <c r="E94" s="101"/>
      <c r="F94" s="173">
        <v>422882.4</v>
      </c>
      <c r="G94" s="174">
        <v>50000</v>
      </c>
      <c r="H94" s="176">
        <v>180000</v>
      </c>
      <c r="I94" s="175">
        <f t="shared" si="12"/>
        <v>130000</v>
      </c>
    </row>
    <row r="95" spans="1:12">
      <c r="A95" s="87"/>
      <c r="B95" s="93" t="s">
        <v>217</v>
      </c>
      <c r="C95" s="93"/>
      <c r="D95" s="93"/>
      <c r="E95" s="93"/>
      <c r="F95" s="177">
        <v>94263.18</v>
      </c>
      <c r="G95" s="178">
        <v>100000</v>
      </c>
      <c r="H95" s="176">
        <v>120000</v>
      </c>
      <c r="I95" s="175">
        <f t="shared" si="12"/>
        <v>20000</v>
      </c>
    </row>
    <row r="96" spans="1:12">
      <c r="A96" s="100"/>
      <c r="B96" s="101" t="s">
        <v>752</v>
      </c>
      <c r="C96" s="101"/>
      <c r="D96" s="101"/>
      <c r="E96" s="101"/>
      <c r="F96" s="173">
        <v>264670</v>
      </c>
      <c r="G96" s="174">
        <v>210000</v>
      </c>
      <c r="H96" s="176">
        <v>300000</v>
      </c>
      <c r="I96" s="175">
        <f t="shared" si="12"/>
        <v>90000</v>
      </c>
    </row>
    <row r="97" spans="1:10">
      <c r="A97" s="87"/>
      <c r="B97" s="101" t="s">
        <v>753</v>
      </c>
      <c r="C97" s="93"/>
      <c r="D97" s="93"/>
      <c r="E97" s="93"/>
      <c r="F97" s="177">
        <v>1736</v>
      </c>
      <c r="G97" s="178">
        <v>25000</v>
      </c>
      <c r="H97" s="176">
        <v>10000</v>
      </c>
      <c r="I97" s="175">
        <f t="shared" si="12"/>
        <v>-15000</v>
      </c>
    </row>
    <row r="98" spans="1:10">
      <c r="A98" s="100"/>
      <c r="B98" s="101" t="s">
        <v>754</v>
      </c>
      <c r="C98" s="101"/>
      <c r="D98" s="101"/>
      <c r="E98" s="101"/>
      <c r="F98" s="173">
        <v>13427.75</v>
      </c>
      <c r="G98" s="174">
        <v>10000</v>
      </c>
      <c r="H98" s="176">
        <v>10000</v>
      </c>
      <c r="I98" s="175">
        <f t="shared" si="12"/>
        <v>0</v>
      </c>
    </row>
    <row r="99" spans="1:10" ht="15.75" thickBot="1">
      <c r="A99" s="100"/>
      <c r="B99" s="159"/>
      <c r="C99" s="101"/>
      <c r="D99" s="159"/>
      <c r="E99" s="101" t="s">
        <v>197</v>
      </c>
      <c r="F99" s="181"/>
      <c r="G99" s="182">
        <f>SUM(G75:G77,G80:G85,G88:G90,G93:G98)</f>
        <v>2376686</v>
      </c>
      <c r="H99" s="182">
        <f>SUM(H75:H98)</f>
        <v>2890271.8248000001</v>
      </c>
      <c r="I99" s="183">
        <f t="shared" si="12"/>
        <v>513585.82480000006</v>
      </c>
    </row>
    <row r="100" spans="1:10" ht="16.5" thickTop="1" thickBot="1">
      <c r="A100" s="73"/>
      <c r="B100" s="98" t="s">
        <v>218</v>
      </c>
      <c r="C100" s="98"/>
      <c r="D100" s="98"/>
      <c r="E100" s="98"/>
      <c r="F100" s="85"/>
      <c r="G100" s="184">
        <f>G39+G64+G99</f>
        <v>10522178.07</v>
      </c>
      <c r="H100" s="184">
        <f>SUM(H39+H64+H99)</f>
        <v>13629898.326506298</v>
      </c>
      <c r="I100" s="185">
        <f>SUM(H100-G100)</f>
        <v>3107720.2565062977</v>
      </c>
    </row>
    <row r="101" spans="1:10" ht="15.75" thickTop="1"/>
    <row r="104" spans="1:10">
      <c r="A104" s="2" t="s">
        <v>35</v>
      </c>
      <c r="B104" s="2"/>
      <c r="G104" s="2" t="s">
        <v>89</v>
      </c>
      <c r="H104" s="2"/>
      <c r="I104" s="2"/>
      <c r="J104" s="2"/>
    </row>
    <row r="106" spans="1:10">
      <c r="A106" t="s">
        <v>72</v>
      </c>
      <c r="G106" s="10" t="s">
        <v>39</v>
      </c>
    </row>
    <row r="107" spans="1:10">
      <c r="A107" t="s">
        <v>755</v>
      </c>
      <c r="G107" s="10" t="s">
        <v>756</v>
      </c>
    </row>
    <row r="110" spans="1:10">
      <c r="D110" s="2" t="s">
        <v>34</v>
      </c>
    </row>
    <row r="111" spans="1:10">
      <c r="D111" t="s">
        <v>37</v>
      </c>
    </row>
    <row r="112" spans="1:10">
      <c r="B112" t="s">
        <v>242</v>
      </c>
    </row>
    <row r="113" spans="2:8">
      <c r="B113" t="s">
        <v>243</v>
      </c>
    </row>
    <row r="115" spans="2:8">
      <c r="F115" s="349" t="s">
        <v>714</v>
      </c>
      <c r="G115" s="349"/>
      <c r="H115" s="349"/>
    </row>
    <row r="116" spans="2:8">
      <c r="F116" s="350" t="s">
        <v>560</v>
      </c>
      <c r="G116" s="350"/>
      <c r="H116" s="350"/>
    </row>
  </sheetData>
  <mergeCells count="11">
    <mergeCell ref="F115:H115"/>
    <mergeCell ref="F116:H116"/>
    <mergeCell ref="A67:I67"/>
    <mergeCell ref="A68:I68"/>
    <mergeCell ref="A1:I1"/>
    <mergeCell ref="A2:I2"/>
    <mergeCell ref="A3:I3"/>
    <mergeCell ref="A7:E7"/>
    <mergeCell ref="A41:E41"/>
    <mergeCell ref="A66:I66"/>
    <mergeCell ref="A39:E39"/>
  </mergeCells>
  <pageMargins left="0.7" right="0.7" top="0.75" bottom="1.75" header="0.3" footer="0.3"/>
  <pageSetup paperSize="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Computation</vt:lpstr>
      <vt:lpstr>Connection</vt:lpstr>
      <vt:lpstr>Consumption</vt:lpstr>
      <vt:lpstr>Rates</vt:lpstr>
      <vt:lpstr>Sales</vt:lpstr>
      <vt:lpstr>Revenues</vt:lpstr>
      <vt:lpstr>Receipts</vt:lpstr>
      <vt:lpstr>Personnel</vt:lpstr>
      <vt:lpstr>Expense</vt:lpstr>
      <vt:lpstr>Cash Flow</vt:lpstr>
      <vt:lpstr>Income</vt:lpstr>
      <vt:lpstr>CAPEX</vt:lpstr>
      <vt:lpstr>GAD</vt:lpstr>
      <vt:lpstr>APP</vt:lpstr>
    </vt:vector>
  </TitlesOfParts>
  <Company>Alicia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Solairs</dc:creator>
  <cp:lastModifiedBy>jeorge tomas</cp:lastModifiedBy>
  <cp:lastPrinted>2015-12-14T08:53:56Z</cp:lastPrinted>
  <dcterms:created xsi:type="dcterms:W3CDTF">2011-11-15T01:50:15Z</dcterms:created>
  <dcterms:modified xsi:type="dcterms:W3CDTF">2016-02-23T04:22:55Z</dcterms:modified>
</cp:coreProperties>
</file>